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TRANSPARENCIA WEB\ARTICULO 8 FRACCION V\Inciso F\"/>
    </mc:Choice>
  </mc:AlternateContent>
  <xr:revisionPtr revIDLastSave="0" documentId="13_ncr:1_{1BAC1B58-EAB2-43D7-92B6-29411C6FFE99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81029"/>
</workbook>
</file>

<file path=xl/calcChain.xml><?xml version="1.0" encoding="utf-8"?>
<calcChain xmlns="http://schemas.openxmlformats.org/spreadsheetml/2006/main">
  <c r="F85" i="18" l="1"/>
  <c r="F100" i="18" l="1"/>
  <c r="T100" i="18" s="1"/>
  <c r="U100" i="18" s="1"/>
  <c r="F360" i="18" l="1"/>
  <c r="L360" i="18" s="1"/>
  <c r="N360" i="18" s="1"/>
  <c r="F40" i="18" l="1"/>
  <c r="L40" i="18" l="1"/>
  <c r="T40" i="18" s="1"/>
  <c r="U40" i="18" s="1"/>
  <c r="Q109" i="18" l="1"/>
  <c r="Q369" i="18" l="1"/>
  <c r="F142" i="18" l="1"/>
  <c r="F384" i="18" l="1"/>
  <c r="T384" i="18" s="1"/>
  <c r="U384" i="18" s="1"/>
  <c r="F375" i="18" l="1"/>
  <c r="T375" i="18" s="1"/>
  <c r="U375" i="18" l="1"/>
  <c r="G274" i="18" l="1"/>
  <c r="F244" i="18"/>
  <c r="J244" i="18" l="1"/>
  <c r="T244" i="18"/>
  <c r="L244" i="18"/>
  <c r="U244" i="18" l="1"/>
  <c r="F241" i="18"/>
  <c r="F242" i="18"/>
  <c r="L242" i="18" s="1"/>
  <c r="N242" i="18" s="1"/>
  <c r="T242" i="18" s="1"/>
  <c r="U242" i="18" s="1"/>
  <c r="F243" i="18"/>
  <c r="J243" i="18" s="1"/>
  <c r="F245" i="18"/>
  <c r="I245" i="18" s="1"/>
  <c r="J245" i="18" s="1"/>
  <c r="F246" i="18"/>
  <c r="I246" i="18" s="1"/>
  <c r="J246" i="18" s="1"/>
  <c r="F247" i="18"/>
  <c r="K247" i="18" s="1"/>
  <c r="O245" i="18" l="1"/>
  <c r="L246" i="18"/>
  <c r="N246" i="18" s="1"/>
  <c r="K246" i="18"/>
  <c r="L245" i="18"/>
  <c r="N245" i="18" s="1"/>
  <c r="L243" i="18"/>
  <c r="N243" i="18" s="1"/>
  <c r="T243" i="18" s="1"/>
  <c r="I247" i="18"/>
  <c r="J247" i="18" s="1"/>
  <c r="O247" i="18"/>
  <c r="L247" i="18"/>
  <c r="N247" i="18" s="1"/>
  <c r="O246" i="18"/>
  <c r="K245" i="18"/>
  <c r="G222" i="18"/>
  <c r="T246" i="18" l="1"/>
  <c r="U246" i="18" s="1"/>
  <c r="T245" i="18"/>
  <c r="U245" i="18" s="1"/>
  <c r="U243" i="18"/>
  <c r="T247" i="18"/>
  <c r="U247" i="18" s="1"/>
  <c r="F218" i="18" l="1"/>
  <c r="G236" i="18" l="1"/>
  <c r="G210" i="18"/>
  <c r="G189" i="18"/>
  <c r="G176" i="18"/>
  <c r="G163" i="18"/>
  <c r="G156" i="18"/>
  <c r="G149" i="18"/>
  <c r="G132" i="18"/>
  <c r="G119" i="18"/>
  <c r="G109" i="18"/>
  <c r="G102" i="18"/>
  <c r="G92" i="18"/>
  <c r="G81" i="18"/>
  <c r="G73" i="18"/>
  <c r="G41" i="18"/>
  <c r="G30" i="18"/>
  <c r="G19" i="18"/>
  <c r="K187" i="18" l="1"/>
  <c r="I187" i="18"/>
  <c r="F187" i="18"/>
  <c r="J187" i="18" l="1"/>
  <c r="L187" i="18"/>
  <c r="N187" i="18" s="1"/>
  <c r="H30" i="18" l="1"/>
  <c r="P30" i="18"/>
  <c r="Q30" i="18"/>
  <c r="R30" i="18"/>
  <c r="S30" i="18"/>
  <c r="F153" i="18" l="1"/>
  <c r="F77" i="18" l="1"/>
  <c r="J77" i="18" l="1"/>
  <c r="L77" i="18"/>
  <c r="N77" i="18" s="1"/>
  <c r="K350" i="18"/>
  <c r="I350" i="18"/>
  <c r="F350" i="18"/>
  <c r="L350" i="18" s="1"/>
  <c r="T350" i="18" l="1"/>
  <c r="U350" i="18" s="1"/>
  <c r="J350" i="18"/>
  <c r="F68" i="18"/>
  <c r="L68" i="18" l="1"/>
  <c r="G352" i="18" l="1"/>
  <c r="F349" i="18"/>
  <c r="F65" i="18"/>
  <c r="L65" i="18" s="1"/>
  <c r="N65" i="18" s="1"/>
  <c r="H81" i="18"/>
  <c r="M81" i="18"/>
  <c r="P81" i="18"/>
  <c r="Q81" i="18"/>
  <c r="R81" i="18"/>
  <c r="S81" i="18"/>
  <c r="L349" i="18" l="1"/>
  <c r="N349" i="18" s="1"/>
  <c r="F392" i="18" l="1"/>
  <c r="T392" i="18" s="1"/>
  <c r="U392" i="18" s="1"/>
  <c r="S400" i="18" l="1"/>
  <c r="Q400" i="18"/>
  <c r="P400" i="18"/>
  <c r="O400" i="18"/>
  <c r="N400" i="18"/>
  <c r="L400" i="18"/>
  <c r="K400" i="18"/>
  <c r="J400" i="18"/>
  <c r="I400" i="18"/>
  <c r="H400" i="18"/>
  <c r="G400" i="18"/>
  <c r="F379" i="18"/>
  <c r="F399" i="18"/>
  <c r="F398" i="18"/>
  <c r="F397" i="18"/>
  <c r="F396" i="18"/>
  <c r="F382" i="18"/>
  <c r="F395" i="18"/>
  <c r="F394" i="18"/>
  <c r="F383" i="18"/>
  <c r="F393" i="18"/>
  <c r="F391" i="18"/>
  <c r="F390" i="18"/>
  <c r="F389" i="18"/>
  <c r="F388" i="18"/>
  <c r="F387" i="18"/>
  <c r="F381" i="18"/>
  <c r="F380" i="18"/>
  <c r="F386" i="18"/>
  <c r="R400" i="18"/>
  <c r="M400" i="18"/>
  <c r="F377" i="18"/>
  <c r="F385" i="18"/>
  <c r="F376" i="18"/>
  <c r="F78" i="18"/>
  <c r="F374" i="18"/>
  <c r="S369" i="18"/>
  <c r="R369" i="18"/>
  <c r="P369" i="18"/>
  <c r="H369" i="18"/>
  <c r="G369" i="18"/>
  <c r="F368" i="18"/>
  <c r="F367" i="18"/>
  <c r="I55" i="18" s="1"/>
  <c r="S362" i="18"/>
  <c r="R362" i="18"/>
  <c r="Q362" i="18"/>
  <c r="P362" i="18"/>
  <c r="M362" i="18"/>
  <c r="H362" i="18"/>
  <c r="G362" i="18"/>
  <c r="F361" i="18"/>
  <c r="F359" i="18"/>
  <c r="L359" i="18" s="1"/>
  <c r="N359" i="18" s="1"/>
  <c r="F358" i="18"/>
  <c r="F357" i="18"/>
  <c r="L357" i="18" s="1"/>
  <c r="N357" i="18" s="1"/>
  <c r="F356" i="18"/>
  <c r="S352" i="18"/>
  <c r="R352" i="18"/>
  <c r="Q352" i="18"/>
  <c r="P352" i="18"/>
  <c r="M352" i="18"/>
  <c r="H352" i="18"/>
  <c r="F351" i="18"/>
  <c r="F352" i="18" s="1"/>
  <c r="I344" i="18"/>
  <c r="S345" i="18"/>
  <c r="R345" i="18"/>
  <c r="Q345" i="18"/>
  <c r="P345" i="18"/>
  <c r="M345" i="18"/>
  <c r="H345" i="18"/>
  <c r="G345" i="18"/>
  <c r="F344" i="18"/>
  <c r="O342" i="18" s="1"/>
  <c r="F343" i="18"/>
  <c r="I342" i="18"/>
  <c r="F342" i="18"/>
  <c r="L342" i="18" s="1"/>
  <c r="N342" i="18" s="1"/>
  <c r="F341" i="18"/>
  <c r="F340" i="18"/>
  <c r="S336" i="18"/>
  <c r="R336" i="18"/>
  <c r="Q336" i="18"/>
  <c r="P336" i="18"/>
  <c r="M336" i="18"/>
  <c r="H336" i="18"/>
  <c r="G336" i="18"/>
  <c r="F335" i="18"/>
  <c r="F334" i="18"/>
  <c r="L334" i="18" s="1"/>
  <c r="N334" i="18" s="1"/>
  <c r="T334" i="18" s="1"/>
  <c r="F333" i="18"/>
  <c r="K249" i="18" s="1"/>
  <c r="S329" i="18"/>
  <c r="R329" i="18"/>
  <c r="Q329" i="18"/>
  <c r="P329" i="18"/>
  <c r="M329" i="18"/>
  <c r="H329" i="18"/>
  <c r="G329" i="18"/>
  <c r="F328" i="18"/>
  <c r="F327" i="18"/>
  <c r="F326" i="18"/>
  <c r="F325" i="18"/>
  <c r="T324" i="18"/>
  <c r="L324" i="18"/>
  <c r="F323" i="18"/>
  <c r="S318" i="18"/>
  <c r="R318" i="18"/>
  <c r="Q318" i="18"/>
  <c r="P318" i="18"/>
  <c r="H318" i="18"/>
  <c r="G318" i="18"/>
  <c r="F317" i="18"/>
  <c r="L317" i="18" s="1"/>
  <c r="N317" i="18" s="1"/>
  <c r="F316" i="18"/>
  <c r="L316" i="18" s="1"/>
  <c r="N316" i="18" s="1"/>
  <c r="F315" i="18"/>
  <c r="F314" i="18"/>
  <c r="F313" i="18"/>
  <c r="F312" i="18"/>
  <c r="F311" i="18"/>
  <c r="F310" i="18"/>
  <c r="F309" i="18"/>
  <c r="K309" i="18" s="1"/>
  <c r="F308" i="18"/>
  <c r="K308" i="18" s="1"/>
  <c r="F307" i="18"/>
  <c r="J307" i="18" s="1"/>
  <c r="F306" i="18"/>
  <c r="F305" i="18"/>
  <c r="L305" i="18" s="1"/>
  <c r="N305" i="18" s="1"/>
  <c r="F304" i="18"/>
  <c r="L304" i="18" s="1"/>
  <c r="N304" i="18" s="1"/>
  <c r="F303" i="18"/>
  <c r="I305" i="18" s="1"/>
  <c r="J305" i="18" s="1"/>
  <c r="F302" i="18"/>
  <c r="F301" i="18"/>
  <c r="L301" i="18" s="1"/>
  <c r="N301" i="18" s="1"/>
  <c r="F300" i="18"/>
  <c r="S295" i="18"/>
  <c r="R295" i="18"/>
  <c r="Q295" i="18"/>
  <c r="P295" i="18"/>
  <c r="M295" i="18"/>
  <c r="H295" i="18"/>
  <c r="G295" i="18"/>
  <c r="F294" i="18"/>
  <c r="F293" i="18"/>
  <c r="L293" i="18" s="1"/>
  <c r="N293" i="18" s="1"/>
  <c r="F292" i="18"/>
  <c r="F291" i="18"/>
  <c r="K294" i="18" s="1"/>
  <c r="F290" i="18"/>
  <c r="K252" i="18" s="1"/>
  <c r="F289" i="18"/>
  <c r="S286" i="18"/>
  <c r="R286" i="18"/>
  <c r="Q286" i="18"/>
  <c r="P286" i="18"/>
  <c r="M286" i="18"/>
  <c r="H286" i="18"/>
  <c r="G286" i="18"/>
  <c r="F285" i="18"/>
  <c r="L285" i="18" s="1"/>
  <c r="N285" i="18" s="1"/>
  <c r="S279" i="18"/>
  <c r="Q279" i="18"/>
  <c r="P279" i="18"/>
  <c r="M279" i="18"/>
  <c r="H279" i="18"/>
  <c r="G279" i="18"/>
  <c r="F278" i="18"/>
  <c r="F279" i="18" s="1"/>
  <c r="S274" i="18"/>
  <c r="R274" i="18"/>
  <c r="Q274" i="18"/>
  <c r="P274" i="18"/>
  <c r="H274" i="18"/>
  <c r="F273" i="18"/>
  <c r="K273" i="18" s="1"/>
  <c r="F272" i="18"/>
  <c r="L272" i="18" s="1"/>
  <c r="N272" i="18" s="1"/>
  <c r="F271" i="18"/>
  <c r="L271" i="18" s="1"/>
  <c r="N271" i="18" s="1"/>
  <c r="F270" i="18"/>
  <c r="L270" i="18" s="1"/>
  <c r="N270" i="18" s="1"/>
  <c r="F269" i="18"/>
  <c r="F267" i="18"/>
  <c r="L267" i="18" s="1"/>
  <c r="F266" i="18"/>
  <c r="L266" i="18" s="1"/>
  <c r="N266" i="18" s="1"/>
  <c r="F265" i="18"/>
  <c r="F264" i="18"/>
  <c r="F263" i="18"/>
  <c r="F262" i="18"/>
  <c r="L262" i="18" s="1"/>
  <c r="N262" i="18" s="1"/>
  <c r="F261" i="18"/>
  <c r="F260" i="18"/>
  <c r="O262" i="18" s="1"/>
  <c r="F259" i="18"/>
  <c r="F258" i="18"/>
  <c r="O258" i="18" s="1"/>
  <c r="F257" i="18"/>
  <c r="F256" i="18"/>
  <c r="O256" i="18" s="1"/>
  <c r="F255" i="18"/>
  <c r="K255" i="18" s="1"/>
  <c r="F254" i="18"/>
  <c r="L254" i="18" s="1"/>
  <c r="N254" i="18" s="1"/>
  <c r="F253" i="18"/>
  <c r="F252" i="18"/>
  <c r="L252" i="18" s="1"/>
  <c r="N252" i="18" s="1"/>
  <c r="F251" i="18"/>
  <c r="L251" i="18" s="1"/>
  <c r="N251" i="18" s="1"/>
  <c r="F250" i="18"/>
  <c r="L250" i="18" s="1"/>
  <c r="N250" i="18" s="1"/>
  <c r="F249" i="18"/>
  <c r="K251" i="18" s="1"/>
  <c r="F248" i="18"/>
  <c r="F240" i="18"/>
  <c r="S236" i="18"/>
  <c r="R236" i="18"/>
  <c r="Q236" i="18"/>
  <c r="P236" i="18"/>
  <c r="M236" i="18"/>
  <c r="H236" i="18"/>
  <c r="F234" i="18"/>
  <c r="F232" i="18"/>
  <c r="S228" i="18"/>
  <c r="R228" i="18"/>
  <c r="Q228" i="18"/>
  <c r="P228" i="18"/>
  <c r="M228" i="18"/>
  <c r="H228" i="18"/>
  <c r="G228" i="18"/>
  <c r="F227" i="18"/>
  <c r="F228" i="18" s="1"/>
  <c r="S222" i="18"/>
  <c r="R222" i="18"/>
  <c r="Q222" i="18"/>
  <c r="P222" i="18"/>
  <c r="H222" i="18"/>
  <c r="T219" i="18"/>
  <c r="F217" i="18"/>
  <c r="F216" i="18"/>
  <c r="F215" i="18"/>
  <c r="S210" i="18"/>
  <c r="R210" i="18"/>
  <c r="Q210" i="18"/>
  <c r="P210" i="18"/>
  <c r="H210" i="18"/>
  <c r="F209" i="18"/>
  <c r="I196" i="18" s="1"/>
  <c r="F208" i="18"/>
  <c r="F207" i="18"/>
  <c r="K208" i="18" s="1"/>
  <c r="F206" i="18"/>
  <c r="F205" i="18"/>
  <c r="F203" i="18"/>
  <c r="L203" i="18" s="1"/>
  <c r="N203" i="18" s="1"/>
  <c r="F202" i="18"/>
  <c r="L202" i="18" s="1"/>
  <c r="N202" i="18" s="1"/>
  <c r="F201" i="18"/>
  <c r="L201" i="18" s="1"/>
  <c r="N201" i="18" s="1"/>
  <c r="F200" i="18"/>
  <c r="L200" i="18" s="1"/>
  <c r="N200" i="18" s="1"/>
  <c r="F199" i="18"/>
  <c r="F198" i="18"/>
  <c r="L198" i="18" s="1"/>
  <c r="N198" i="18" s="1"/>
  <c r="F197" i="18"/>
  <c r="F196" i="18"/>
  <c r="F195" i="18"/>
  <c r="F194" i="18"/>
  <c r="S189" i="18"/>
  <c r="R189" i="18"/>
  <c r="Q189" i="18"/>
  <c r="P189" i="18"/>
  <c r="M189" i="18"/>
  <c r="F188" i="18"/>
  <c r="L188" i="18" s="1"/>
  <c r="N188" i="18" s="1"/>
  <c r="K186" i="18"/>
  <c r="I186" i="18"/>
  <c r="F186" i="18"/>
  <c r="L186" i="18" s="1"/>
  <c r="K185" i="18"/>
  <c r="I185" i="18"/>
  <c r="F185" i="18"/>
  <c r="L185" i="18" s="1"/>
  <c r="N185" i="18" s="1"/>
  <c r="F184" i="18"/>
  <c r="L184" i="18" s="1"/>
  <c r="N184" i="18" s="1"/>
  <c r="F183" i="18"/>
  <c r="L183" i="18" s="1"/>
  <c r="N183" i="18" s="1"/>
  <c r="F182" i="18"/>
  <c r="H189" i="18"/>
  <c r="F181" i="18"/>
  <c r="F180" i="18"/>
  <c r="K167" i="18" s="1"/>
  <c r="S176" i="18"/>
  <c r="R176" i="18"/>
  <c r="Q176" i="18"/>
  <c r="P176" i="18"/>
  <c r="M176" i="18"/>
  <c r="H176" i="18"/>
  <c r="F175" i="18"/>
  <c r="O175" i="18" s="1"/>
  <c r="F174" i="18"/>
  <c r="O174" i="18" s="1"/>
  <c r="F173" i="18"/>
  <c r="O173" i="18" s="1"/>
  <c r="F172" i="18"/>
  <c r="O172" i="18" s="1"/>
  <c r="F171" i="18"/>
  <c r="O171" i="18" s="1"/>
  <c r="F170" i="18"/>
  <c r="L170" i="18" s="1"/>
  <c r="N170" i="18" s="1"/>
  <c r="F169" i="18"/>
  <c r="F91" i="18"/>
  <c r="L91" i="18" s="1"/>
  <c r="N91" i="18" s="1"/>
  <c r="F167" i="18"/>
  <c r="S163" i="18"/>
  <c r="R163" i="18"/>
  <c r="Q163" i="18"/>
  <c r="P163" i="18"/>
  <c r="H163" i="18"/>
  <c r="F161" i="18"/>
  <c r="O163" i="18" s="1"/>
  <c r="F160" i="18"/>
  <c r="S156" i="18"/>
  <c r="R156" i="18"/>
  <c r="Q156" i="18"/>
  <c r="P156" i="18"/>
  <c r="M156" i="18"/>
  <c r="H156" i="18"/>
  <c r="F155" i="18"/>
  <c r="F154" i="18"/>
  <c r="S149" i="18"/>
  <c r="R149" i="18"/>
  <c r="Q149" i="18"/>
  <c r="P149" i="18"/>
  <c r="M149" i="18"/>
  <c r="H149" i="18"/>
  <c r="F145" i="18"/>
  <c r="F144" i="18"/>
  <c r="L144" i="18" s="1"/>
  <c r="F143" i="18"/>
  <c r="L143" i="18" s="1"/>
  <c r="N143" i="18" s="1"/>
  <c r="F141" i="18"/>
  <c r="F140" i="18"/>
  <c r="O144" i="18" s="1"/>
  <c r="F139" i="18"/>
  <c r="F138" i="18"/>
  <c r="S132" i="18"/>
  <c r="R132" i="18"/>
  <c r="Q132" i="18"/>
  <c r="P132" i="18"/>
  <c r="O132" i="18"/>
  <c r="H132" i="18"/>
  <c r="F131" i="18"/>
  <c r="J131" i="18" s="1"/>
  <c r="F130" i="18"/>
  <c r="J130" i="18" s="1"/>
  <c r="F129" i="18"/>
  <c r="J129" i="18" s="1"/>
  <c r="F128" i="18"/>
  <c r="J128" i="18" s="1"/>
  <c r="F127" i="18"/>
  <c r="J127" i="18" s="1"/>
  <c r="F126" i="18"/>
  <c r="F125" i="18"/>
  <c r="S119" i="18"/>
  <c r="R119" i="18"/>
  <c r="Q119" i="18"/>
  <c r="P119" i="18"/>
  <c r="M119" i="18"/>
  <c r="H119" i="18"/>
  <c r="F118" i="18"/>
  <c r="L118" i="18" s="1"/>
  <c r="N118" i="18" s="1"/>
  <c r="F117" i="18"/>
  <c r="F116" i="18"/>
  <c r="F115" i="18"/>
  <c r="F114" i="18"/>
  <c r="F113" i="18"/>
  <c r="S109" i="18"/>
  <c r="R109" i="18"/>
  <c r="P109" i="18"/>
  <c r="H109" i="18"/>
  <c r="O109" i="18"/>
  <c r="F108" i="18"/>
  <c r="F107" i="18"/>
  <c r="F106" i="18"/>
  <c r="S102" i="18"/>
  <c r="R102" i="18"/>
  <c r="Q102" i="18"/>
  <c r="P102" i="18"/>
  <c r="O102" i="18"/>
  <c r="M102" i="18"/>
  <c r="H102" i="18"/>
  <c r="F101" i="18"/>
  <c r="F102" i="18" s="1"/>
  <c r="S92" i="18"/>
  <c r="R92" i="18"/>
  <c r="Q92" i="18"/>
  <c r="P92" i="18"/>
  <c r="M92" i="18"/>
  <c r="H92" i="18"/>
  <c r="F29" i="18"/>
  <c r="J29" i="18" s="1"/>
  <c r="F90" i="18"/>
  <c r="S86" i="18"/>
  <c r="R86" i="18"/>
  <c r="Q86" i="18"/>
  <c r="P86" i="18"/>
  <c r="O86" i="18"/>
  <c r="M86" i="18"/>
  <c r="K86" i="18"/>
  <c r="I86" i="18"/>
  <c r="H86" i="18"/>
  <c r="G86" i="18"/>
  <c r="S73" i="18"/>
  <c r="R73" i="18"/>
  <c r="Q73" i="18"/>
  <c r="P73" i="18"/>
  <c r="H73" i="18"/>
  <c r="F72" i="18"/>
  <c r="F71" i="18"/>
  <c r="L71" i="18" s="1"/>
  <c r="N71" i="18" s="1"/>
  <c r="F70" i="18"/>
  <c r="O70" i="18" s="1"/>
  <c r="O79" i="18"/>
  <c r="O81" i="18" s="1"/>
  <c r="F79" i="18"/>
  <c r="L79" i="18" s="1"/>
  <c r="F69" i="18"/>
  <c r="F67" i="18"/>
  <c r="F66" i="18"/>
  <c r="F64" i="18"/>
  <c r="O63" i="18"/>
  <c r="F63" i="18"/>
  <c r="F62" i="18"/>
  <c r="F61" i="18"/>
  <c r="S57" i="18"/>
  <c r="R57" i="18"/>
  <c r="Q57" i="18"/>
  <c r="P57" i="18"/>
  <c r="M57" i="18"/>
  <c r="H57" i="18"/>
  <c r="G57" i="18"/>
  <c r="O55" i="18"/>
  <c r="F55" i="18"/>
  <c r="L55" i="18" s="1"/>
  <c r="N55" i="18" s="1"/>
  <c r="F54" i="18"/>
  <c r="S50" i="18"/>
  <c r="R50" i="18"/>
  <c r="Q50" i="18"/>
  <c r="P50" i="18"/>
  <c r="H50" i="18"/>
  <c r="G50" i="18"/>
  <c r="F49" i="18"/>
  <c r="J49" i="18" s="1"/>
  <c r="F80" i="18"/>
  <c r="J80" i="18" s="1"/>
  <c r="F48" i="18"/>
  <c r="O36" i="18" s="1"/>
  <c r="F47" i="18"/>
  <c r="J47" i="18" s="1"/>
  <c r="F46" i="18"/>
  <c r="S41" i="18"/>
  <c r="R41" i="18"/>
  <c r="Q41" i="18"/>
  <c r="P41" i="18"/>
  <c r="M41" i="18"/>
  <c r="H41" i="18"/>
  <c r="F39" i="18"/>
  <c r="L39" i="18" s="1"/>
  <c r="N39" i="18" s="1"/>
  <c r="F38" i="18"/>
  <c r="L38" i="18" s="1"/>
  <c r="N38" i="18" s="1"/>
  <c r="F37" i="18"/>
  <c r="F36" i="18"/>
  <c r="L36" i="18" s="1"/>
  <c r="N36" i="18" s="1"/>
  <c r="F35" i="18"/>
  <c r="K233" i="18"/>
  <c r="F233" i="18"/>
  <c r="F28" i="18"/>
  <c r="K155" i="18" s="1"/>
  <c r="F27" i="18"/>
  <c r="L27" i="18" s="1"/>
  <c r="F26" i="18"/>
  <c r="O27" i="18" s="1"/>
  <c r="F24" i="18"/>
  <c r="S19" i="18"/>
  <c r="R19" i="18"/>
  <c r="Q19" i="18"/>
  <c r="P19" i="18"/>
  <c r="H19" i="18"/>
  <c r="F17" i="18"/>
  <c r="F16" i="18"/>
  <c r="O16" i="18" s="1"/>
  <c r="F15" i="18"/>
  <c r="L15" i="18" s="1"/>
  <c r="N15" i="18" s="1"/>
  <c r="F14" i="18"/>
  <c r="F13" i="18"/>
  <c r="L13" i="18" s="1"/>
  <c r="N13" i="18" s="1"/>
  <c r="F12" i="18"/>
  <c r="O12" i="18" s="1"/>
  <c r="F11" i="18"/>
  <c r="L11" i="18" s="1"/>
  <c r="N11" i="18" s="1"/>
  <c r="F10" i="18"/>
  <c r="O10" i="18" s="1"/>
  <c r="F9" i="18"/>
  <c r="O9" i="18" s="1"/>
  <c r="F8" i="18"/>
  <c r="O259" i="18" l="1"/>
  <c r="O361" i="18"/>
  <c r="O360" i="18"/>
  <c r="T360" i="18" s="1"/>
  <c r="U360" i="18" s="1"/>
  <c r="I117" i="18"/>
  <c r="J117" i="18" s="1"/>
  <c r="K63" i="18"/>
  <c r="K48" i="18"/>
  <c r="K50" i="18" s="1"/>
  <c r="K361" i="18"/>
  <c r="K360" i="18"/>
  <c r="I360" i="18"/>
  <c r="J360" i="18" s="1"/>
  <c r="J62" i="18"/>
  <c r="K40" i="18"/>
  <c r="I40" i="18"/>
  <c r="J40" i="18" s="1"/>
  <c r="K17" i="18"/>
  <c r="I37" i="18"/>
  <c r="J37" i="18" s="1"/>
  <c r="K38" i="18"/>
  <c r="M64" i="18"/>
  <c r="I69" i="18"/>
  <c r="M107" i="18"/>
  <c r="M109" i="18" s="1"/>
  <c r="K203" i="18"/>
  <c r="I36" i="18"/>
  <c r="J36" i="18" s="1"/>
  <c r="S403" i="18"/>
  <c r="I17" i="18"/>
  <c r="J17" i="18" s="1"/>
  <c r="M17" i="18"/>
  <c r="M19" i="18" s="1"/>
  <c r="I48" i="18"/>
  <c r="I50" i="18" s="1"/>
  <c r="M48" i="18"/>
  <c r="M50" i="18" s="1"/>
  <c r="I64" i="18"/>
  <c r="J64" i="18" s="1"/>
  <c r="M69" i="18"/>
  <c r="I107" i="18"/>
  <c r="J107" i="18" s="1"/>
  <c r="K126" i="18"/>
  <c r="K132" i="18" s="1"/>
  <c r="Q403" i="18"/>
  <c r="T376" i="18"/>
  <c r="O252" i="18"/>
  <c r="T252" i="18" s="1"/>
  <c r="F163" i="18"/>
  <c r="I63" i="18"/>
  <c r="M63" i="18"/>
  <c r="K64" i="18"/>
  <c r="K69" i="18"/>
  <c r="K107" i="18"/>
  <c r="I126" i="18"/>
  <c r="I132" i="18" s="1"/>
  <c r="M126" i="18"/>
  <c r="M132" i="18" s="1"/>
  <c r="K160" i="18"/>
  <c r="I160" i="18"/>
  <c r="J160" i="18" s="1"/>
  <c r="M160" i="18"/>
  <c r="M163" i="18" s="1"/>
  <c r="M195" i="18"/>
  <c r="K117" i="18"/>
  <c r="F132" i="18"/>
  <c r="I203" i="18"/>
  <c r="J203" i="18" s="1"/>
  <c r="G403" i="18"/>
  <c r="F274" i="18"/>
  <c r="O209" i="18"/>
  <c r="K241" i="18"/>
  <c r="I241" i="18"/>
  <c r="J241" i="18" s="1"/>
  <c r="M241" i="18"/>
  <c r="K218" i="18"/>
  <c r="M218" i="18"/>
  <c r="I218" i="18"/>
  <c r="J218" i="18" s="1"/>
  <c r="I242" i="18"/>
  <c r="J242" i="18" s="1"/>
  <c r="K242" i="18"/>
  <c r="P403" i="18"/>
  <c r="H403" i="18"/>
  <c r="F295" i="18"/>
  <c r="F30" i="18"/>
  <c r="O187" i="18"/>
  <c r="F400" i="18"/>
  <c r="O69" i="18"/>
  <c r="F369" i="18"/>
  <c r="O356" i="18"/>
  <c r="F362" i="18"/>
  <c r="O340" i="18"/>
  <c r="F345" i="18"/>
  <c r="K333" i="18"/>
  <c r="K336" i="18" s="1"/>
  <c r="F336" i="18"/>
  <c r="F329" i="18"/>
  <c r="I259" i="18"/>
  <c r="J259" i="18" s="1"/>
  <c r="F318" i="18"/>
  <c r="K323" i="18"/>
  <c r="K329" i="18" s="1"/>
  <c r="F286" i="18"/>
  <c r="L233" i="18"/>
  <c r="N233" i="18" s="1"/>
  <c r="F236" i="18"/>
  <c r="K240" i="18"/>
  <c r="F222" i="18"/>
  <c r="O194" i="18"/>
  <c r="F210" i="18"/>
  <c r="O180" i="18"/>
  <c r="F189" i="18"/>
  <c r="O46" i="18"/>
  <c r="F176" i="18"/>
  <c r="L154" i="18"/>
  <c r="N154" i="18" s="1"/>
  <c r="F156" i="18"/>
  <c r="F149" i="18"/>
  <c r="F119" i="18"/>
  <c r="J106" i="18"/>
  <c r="F109" i="18"/>
  <c r="K235" i="18"/>
  <c r="F92" i="18"/>
  <c r="J85" i="18"/>
  <c r="J86" i="18" s="1"/>
  <c r="F86" i="18"/>
  <c r="F81" i="18"/>
  <c r="J61" i="18"/>
  <c r="F73" i="18"/>
  <c r="L54" i="18"/>
  <c r="N54" i="18" s="1"/>
  <c r="F57" i="18"/>
  <c r="J46" i="18"/>
  <c r="F50" i="18"/>
  <c r="J35" i="18"/>
  <c r="F41" i="18"/>
  <c r="F19" i="18"/>
  <c r="I252" i="18"/>
  <c r="J252" i="18" s="1"/>
  <c r="I195" i="18"/>
  <c r="J195" i="18" s="1"/>
  <c r="M196" i="18"/>
  <c r="L153" i="18"/>
  <c r="I68" i="18"/>
  <c r="J68" i="18" s="1"/>
  <c r="K68" i="18"/>
  <c r="O68" i="18"/>
  <c r="T68" i="18" s="1"/>
  <c r="U68" i="18" s="1"/>
  <c r="K37" i="18"/>
  <c r="I38" i="18"/>
  <c r="J38" i="18" s="1"/>
  <c r="K342" i="18"/>
  <c r="L351" i="18"/>
  <c r="I358" i="18"/>
  <c r="J358" i="18" s="1"/>
  <c r="K349" i="18"/>
  <c r="T349" i="18"/>
  <c r="I349" i="18"/>
  <c r="J349" i="18" s="1"/>
  <c r="O17" i="18"/>
  <c r="I26" i="18"/>
  <c r="J26" i="18" s="1"/>
  <c r="I233" i="18"/>
  <c r="J233" i="18" s="1"/>
  <c r="O233" i="18"/>
  <c r="K36" i="18"/>
  <c r="O48" i="18"/>
  <c r="K55" i="18"/>
  <c r="O64" i="18"/>
  <c r="I249" i="18"/>
  <c r="J249" i="18" s="1"/>
  <c r="K259" i="18"/>
  <c r="K71" i="18"/>
  <c r="O65" i="18"/>
  <c r="I65" i="18"/>
  <c r="J65" i="18" s="1"/>
  <c r="K65" i="18"/>
  <c r="N79" i="18"/>
  <c r="T79" i="18" s="1"/>
  <c r="I207" i="18"/>
  <c r="J207" i="18" s="1"/>
  <c r="I215" i="18"/>
  <c r="J215" i="18" s="1"/>
  <c r="K344" i="18"/>
  <c r="I359" i="18"/>
  <c r="J359" i="18" s="1"/>
  <c r="T77" i="18"/>
  <c r="I197" i="18"/>
  <c r="J197" i="18" s="1"/>
  <c r="T387" i="18"/>
  <c r="I10" i="18"/>
  <c r="J10" i="18" s="1"/>
  <c r="I260" i="18"/>
  <c r="J260" i="18" s="1"/>
  <c r="T262" i="18"/>
  <c r="I273" i="18"/>
  <c r="J273" i="18" s="1"/>
  <c r="J344" i="18"/>
  <c r="K359" i="18"/>
  <c r="T374" i="18"/>
  <c r="T394" i="18"/>
  <c r="O26" i="18"/>
  <c r="I27" i="18"/>
  <c r="J27" i="18" s="1"/>
  <c r="L140" i="18"/>
  <c r="N140" i="18" s="1"/>
  <c r="O141" i="18"/>
  <c r="O197" i="18"/>
  <c r="O215" i="18"/>
  <c r="T379" i="18"/>
  <c r="U219" i="18"/>
  <c r="L308" i="18"/>
  <c r="N308" i="18" s="1"/>
  <c r="L309" i="18"/>
  <c r="N309" i="18" s="1"/>
  <c r="K340" i="18"/>
  <c r="L344" i="18"/>
  <c r="N344" i="18" s="1"/>
  <c r="K351" i="18"/>
  <c r="L356" i="18"/>
  <c r="I16" i="18"/>
  <c r="J16" i="18" s="1"/>
  <c r="L26" i="18"/>
  <c r="N26" i="18" s="1"/>
  <c r="O57" i="18"/>
  <c r="L108" i="18"/>
  <c r="N108" i="18" s="1"/>
  <c r="T108" i="18" s="1"/>
  <c r="O140" i="18"/>
  <c r="L141" i="18"/>
  <c r="N141" i="18" s="1"/>
  <c r="O143" i="18"/>
  <c r="T143" i="18" s="1"/>
  <c r="O145" i="18"/>
  <c r="I167" i="18"/>
  <c r="J167" i="18" s="1"/>
  <c r="O167" i="18"/>
  <c r="I180" i="18"/>
  <c r="J180" i="18" s="1"/>
  <c r="J186" i="18"/>
  <c r="I188" i="18"/>
  <c r="J188" i="18" s="1"/>
  <c r="K195" i="18"/>
  <c r="J196" i="18"/>
  <c r="K196" i="18"/>
  <c r="L197" i="18"/>
  <c r="N197" i="18" s="1"/>
  <c r="L215" i="18"/>
  <c r="N215" i="18" s="1"/>
  <c r="L273" i="18"/>
  <c r="N273" i="18" s="1"/>
  <c r="L278" i="18"/>
  <c r="N278" i="18" s="1"/>
  <c r="N279" i="18" s="1"/>
  <c r="N286" i="18"/>
  <c r="K285" i="18"/>
  <c r="K286" i="18" s="1"/>
  <c r="I290" i="18"/>
  <c r="J290" i="18" s="1"/>
  <c r="I308" i="18"/>
  <c r="J308" i="18" s="1"/>
  <c r="I309" i="18"/>
  <c r="J309" i="18" s="1"/>
  <c r="J316" i="18"/>
  <c r="L325" i="18"/>
  <c r="N325" i="18" s="1"/>
  <c r="T325" i="18" s="1"/>
  <c r="L328" i="18"/>
  <c r="N328" i="18" s="1"/>
  <c r="I340" i="18"/>
  <c r="I345" i="18" s="1"/>
  <c r="O344" i="18"/>
  <c r="T351" i="18"/>
  <c r="K358" i="18"/>
  <c r="T391" i="18"/>
  <c r="T396" i="18"/>
  <c r="T39" i="18"/>
  <c r="T198" i="18"/>
  <c r="K54" i="18"/>
  <c r="I54" i="18"/>
  <c r="J54" i="18" s="1"/>
  <c r="K8" i="18"/>
  <c r="I8" i="18"/>
  <c r="J8" i="18" s="1"/>
  <c r="L8" i="18"/>
  <c r="N8" i="18" s="1"/>
  <c r="O8" i="18"/>
  <c r="I12" i="18"/>
  <c r="J12" i="18" s="1"/>
  <c r="O14" i="18"/>
  <c r="I14" i="18"/>
  <c r="J14" i="18" s="1"/>
  <c r="T36" i="18"/>
  <c r="U36" i="18" s="1"/>
  <c r="T144" i="18"/>
  <c r="L37" i="18"/>
  <c r="T38" i="18"/>
  <c r="L46" i="18"/>
  <c r="N46" i="18" s="1"/>
  <c r="L80" i="18"/>
  <c r="N80" i="18" s="1"/>
  <c r="T80" i="18" s="1"/>
  <c r="L49" i="18"/>
  <c r="N49" i="18" s="1"/>
  <c r="T49" i="18" s="1"/>
  <c r="U49" i="18" s="1"/>
  <c r="T55" i="18"/>
  <c r="K79" i="18"/>
  <c r="K81" i="18" s="1"/>
  <c r="L85" i="18"/>
  <c r="L90" i="18"/>
  <c r="O90" i="18"/>
  <c r="L29" i="18"/>
  <c r="N29" i="18" s="1"/>
  <c r="O29" i="18"/>
  <c r="K101" i="18"/>
  <c r="K102" i="18" s="1"/>
  <c r="L106" i="18"/>
  <c r="N106" i="18" s="1"/>
  <c r="O106" i="18"/>
  <c r="I108" i="18"/>
  <c r="J108" i="18" s="1"/>
  <c r="I113" i="18"/>
  <c r="J113" i="18" s="1"/>
  <c r="O113" i="18"/>
  <c r="O119" i="18" s="1"/>
  <c r="K138" i="18"/>
  <c r="I153" i="18"/>
  <c r="J153" i="18" s="1"/>
  <c r="O153" i="18"/>
  <c r="K161" i="18"/>
  <c r="K169" i="18"/>
  <c r="K170" i="18"/>
  <c r="K174" i="18"/>
  <c r="K194" i="18"/>
  <c r="I205" i="18"/>
  <c r="J205" i="18" s="1"/>
  <c r="K217" i="18"/>
  <c r="K227" i="18"/>
  <c r="K228" i="18" s="1"/>
  <c r="I232" i="18"/>
  <c r="I236" i="18" s="1"/>
  <c r="K232" i="18"/>
  <c r="K236" i="18" s="1"/>
  <c r="K234" i="18"/>
  <c r="I235" i="18"/>
  <c r="J235" i="18" s="1"/>
  <c r="K26" i="18"/>
  <c r="K27" i="18"/>
  <c r="L35" i="18"/>
  <c r="L47" i="18"/>
  <c r="N47" i="18" s="1"/>
  <c r="J55" i="18"/>
  <c r="T91" i="18"/>
  <c r="U91" i="18" s="1"/>
  <c r="J90" i="18"/>
  <c r="I101" i="18"/>
  <c r="I102" i="18" s="1"/>
  <c r="L101" i="18"/>
  <c r="K108" i="18"/>
  <c r="K113" i="18"/>
  <c r="I138" i="18"/>
  <c r="J138" i="18" s="1"/>
  <c r="L138" i="18"/>
  <c r="O138" i="18"/>
  <c r="L139" i="18"/>
  <c r="N139" i="18" s="1"/>
  <c r="L145" i="18"/>
  <c r="K153" i="18"/>
  <c r="L155" i="18"/>
  <c r="N155" i="18" s="1"/>
  <c r="T155" i="18" s="1"/>
  <c r="I161" i="18"/>
  <c r="J161" i="18" s="1"/>
  <c r="L161" i="18"/>
  <c r="N161" i="18" s="1"/>
  <c r="I169" i="18"/>
  <c r="J169" i="18" s="1"/>
  <c r="O169" i="18"/>
  <c r="I170" i="18"/>
  <c r="J170" i="18" s="1"/>
  <c r="I174" i="18"/>
  <c r="J174" i="18" s="1"/>
  <c r="J185" i="18"/>
  <c r="I194" i="18"/>
  <c r="J194" i="18" s="1"/>
  <c r="L194" i="18"/>
  <c r="N194" i="18" s="1"/>
  <c r="K197" i="18"/>
  <c r="K205" i="18"/>
  <c r="K289" i="18"/>
  <c r="O240" i="18"/>
  <c r="I240" i="18"/>
  <c r="J240" i="18" s="1"/>
  <c r="O289" i="18"/>
  <c r="I289" i="18"/>
  <c r="J289" i="18" s="1"/>
  <c r="K215" i="18"/>
  <c r="I217" i="18"/>
  <c r="J217" i="18" s="1"/>
  <c r="L217" i="18"/>
  <c r="N217" i="18" s="1"/>
  <c r="I227" i="18"/>
  <c r="I228" i="18" s="1"/>
  <c r="L227" i="18"/>
  <c r="O227" i="18"/>
  <c r="O228" i="18" s="1"/>
  <c r="L232" i="18"/>
  <c r="O232" i="18"/>
  <c r="O236" i="18" s="1"/>
  <c r="I234" i="18"/>
  <c r="J234" i="18" s="1"/>
  <c r="L234" i="18"/>
  <c r="N234" i="18" s="1"/>
  <c r="L235" i="18"/>
  <c r="O254" i="18"/>
  <c r="T254" i="18" s="1"/>
  <c r="O248" i="18"/>
  <c r="I251" i="18"/>
  <c r="J251" i="18" s="1"/>
  <c r="K250" i="18"/>
  <c r="L249" i="18"/>
  <c r="N249" i="18" s="1"/>
  <c r="T249" i="18" s="1"/>
  <c r="I250" i="18"/>
  <c r="J250" i="18" s="1"/>
  <c r="T317" i="18"/>
  <c r="U334" i="18"/>
  <c r="K271" i="18"/>
  <c r="K272" i="18"/>
  <c r="K302" i="18"/>
  <c r="L327" i="18"/>
  <c r="N327" i="18" s="1"/>
  <c r="T327" i="18" s="1"/>
  <c r="L341" i="18"/>
  <c r="N341" i="18" s="1"/>
  <c r="K262" i="18"/>
  <c r="I271" i="18"/>
  <c r="J271" i="18" s="1"/>
  <c r="I272" i="18"/>
  <c r="J272" i="18" s="1"/>
  <c r="R279" i="18"/>
  <c r="R403" i="18" s="1"/>
  <c r="I356" i="18"/>
  <c r="J356" i="18" s="1"/>
  <c r="K356" i="18"/>
  <c r="I285" i="18"/>
  <c r="J285" i="18" s="1"/>
  <c r="J286" i="18" s="1"/>
  <c r="I302" i="18"/>
  <c r="J302" i="18" s="1"/>
  <c r="L302" i="18"/>
  <c r="N302" i="18" s="1"/>
  <c r="T302" i="18" s="1"/>
  <c r="I323" i="18"/>
  <c r="I329" i="18" s="1"/>
  <c r="L323" i="18"/>
  <c r="O329" i="18"/>
  <c r="L326" i="18"/>
  <c r="N326" i="18" s="1"/>
  <c r="T326" i="18" s="1"/>
  <c r="O333" i="18"/>
  <c r="O336" i="18" s="1"/>
  <c r="L333" i="18"/>
  <c r="I333" i="18"/>
  <c r="I336" i="18" s="1"/>
  <c r="L335" i="18"/>
  <c r="N335" i="18" s="1"/>
  <c r="T335" i="18" s="1"/>
  <c r="L343" i="18"/>
  <c r="N343" i="18" s="1"/>
  <c r="T357" i="18"/>
  <c r="L340" i="18"/>
  <c r="J342" i="18"/>
  <c r="I351" i="18"/>
  <c r="J351" i="18" s="1"/>
  <c r="N356" i="18"/>
  <c r="T356" i="18" s="1"/>
  <c r="L358" i="18"/>
  <c r="N358" i="18" s="1"/>
  <c r="O358" i="18"/>
  <c r="O359" i="18"/>
  <c r="I361" i="18"/>
  <c r="J361" i="18" s="1"/>
  <c r="L361" i="18"/>
  <c r="N361" i="18" s="1"/>
  <c r="O367" i="18"/>
  <c r="O368" i="18"/>
  <c r="T78" i="18"/>
  <c r="T385" i="18"/>
  <c r="T377" i="18"/>
  <c r="T380" i="18"/>
  <c r="T389" i="18"/>
  <c r="T393" i="18"/>
  <c r="T395" i="18"/>
  <c r="T398" i="18"/>
  <c r="K24" i="18"/>
  <c r="O24" i="18"/>
  <c r="T27" i="18"/>
  <c r="K10" i="18"/>
  <c r="K12" i="18"/>
  <c r="K14" i="18"/>
  <c r="K16" i="18"/>
  <c r="I24" i="18"/>
  <c r="J24" i="18" s="1"/>
  <c r="M24" i="18"/>
  <c r="M30" i="18" s="1"/>
  <c r="I71" i="18"/>
  <c r="J71" i="18" s="1"/>
  <c r="I172" i="18"/>
  <c r="J172" i="18" s="1"/>
  <c r="K180" i="18"/>
  <c r="I182" i="18"/>
  <c r="J182" i="18" s="1"/>
  <c r="O182" i="18"/>
  <c r="T182" i="18" s="1"/>
  <c r="I183" i="18"/>
  <c r="J183" i="18" s="1"/>
  <c r="I184" i="18"/>
  <c r="J184" i="18" s="1"/>
  <c r="K188" i="18"/>
  <c r="K207" i="18"/>
  <c r="O208" i="18"/>
  <c r="I209" i="18"/>
  <c r="J209" i="18" s="1"/>
  <c r="M209" i="18"/>
  <c r="I254" i="18"/>
  <c r="J254" i="18" s="1"/>
  <c r="I258" i="18"/>
  <c r="J258" i="18" s="1"/>
  <c r="K260" i="18"/>
  <c r="O261" i="18"/>
  <c r="I262" i="18"/>
  <c r="J262" i="18" s="1"/>
  <c r="I264" i="18"/>
  <c r="J264" i="18" s="1"/>
  <c r="I266" i="18"/>
  <c r="J266" i="18" s="1"/>
  <c r="I270" i="18"/>
  <c r="J270" i="18" s="1"/>
  <c r="K290" i="18"/>
  <c r="I291" i="18"/>
  <c r="J291" i="18" s="1"/>
  <c r="K293" i="18"/>
  <c r="O294" i="18"/>
  <c r="I303" i="18"/>
  <c r="J303" i="18" s="1"/>
  <c r="K305" i="18"/>
  <c r="I310" i="18"/>
  <c r="J310" i="18" s="1"/>
  <c r="I312" i="18"/>
  <c r="J312" i="18" s="1"/>
  <c r="I314" i="18"/>
  <c r="J314" i="18" s="1"/>
  <c r="U324" i="18"/>
  <c r="K352" i="18"/>
  <c r="O41" i="18"/>
  <c r="M73" i="18"/>
  <c r="I79" i="18"/>
  <c r="K172" i="18"/>
  <c r="K182" i="18"/>
  <c r="K183" i="18"/>
  <c r="K184" i="18"/>
  <c r="O186" i="18"/>
  <c r="K209" i="18"/>
  <c r="K254" i="18"/>
  <c r="K258" i="18"/>
  <c r="K264" i="18"/>
  <c r="K266" i="18"/>
  <c r="K270" i="18"/>
  <c r="K291" i="18"/>
  <c r="O292" i="18"/>
  <c r="I293" i="18"/>
  <c r="J293" i="18" s="1"/>
  <c r="K303" i="18"/>
  <c r="K310" i="18"/>
  <c r="K312" i="18"/>
  <c r="K314" i="18"/>
  <c r="T118" i="18"/>
  <c r="L9" i="18"/>
  <c r="O11" i="18"/>
  <c r="T11" i="18" s="1"/>
  <c r="O13" i="18"/>
  <c r="O15" i="18"/>
  <c r="I9" i="18"/>
  <c r="J9" i="18" s="1"/>
  <c r="K9" i="18"/>
  <c r="L10" i="18"/>
  <c r="N10" i="18" s="1"/>
  <c r="T10" i="18" s="1"/>
  <c r="I11" i="18"/>
  <c r="J11" i="18" s="1"/>
  <c r="K11" i="18"/>
  <c r="L12" i="18"/>
  <c r="N12" i="18" s="1"/>
  <c r="T12" i="18" s="1"/>
  <c r="I13" i="18"/>
  <c r="J13" i="18" s="1"/>
  <c r="K13" i="18"/>
  <c r="L14" i="18"/>
  <c r="N14" i="18" s="1"/>
  <c r="T14" i="18" s="1"/>
  <c r="I15" i="18"/>
  <c r="J15" i="18" s="1"/>
  <c r="K15" i="18"/>
  <c r="L16" i="18"/>
  <c r="N16" i="18" s="1"/>
  <c r="T16" i="18" s="1"/>
  <c r="L24" i="18"/>
  <c r="N24" i="18"/>
  <c r="I28" i="18"/>
  <c r="K28" i="18"/>
  <c r="T37" i="18"/>
  <c r="U38" i="18"/>
  <c r="I39" i="18"/>
  <c r="J39" i="18" s="1"/>
  <c r="K39" i="18"/>
  <c r="L61" i="18"/>
  <c r="O61" i="18"/>
  <c r="J66" i="18"/>
  <c r="J67" i="18"/>
  <c r="O278" i="18"/>
  <c r="O285" i="18"/>
  <c r="K278" i="18"/>
  <c r="K279" i="18" s="1"/>
  <c r="I278" i="18"/>
  <c r="J69" i="18"/>
  <c r="I70" i="18"/>
  <c r="J70" i="18" s="1"/>
  <c r="K70" i="18"/>
  <c r="O71" i="18"/>
  <c r="I72" i="18"/>
  <c r="J72" i="18" s="1"/>
  <c r="K72" i="18"/>
  <c r="L114" i="18"/>
  <c r="N114" i="18" s="1"/>
  <c r="L115" i="18"/>
  <c r="N115" i="18" s="1"/>
  <c r="L116" i="18"/>
  <c r="N116" i="18" s="1"/>
  <c r="L117" i="18"/>
  <c r="N117" i="18" s="1"/>
  <c r="T117" i="18" s="1"/>
  <c r="J125" i="18"/>
  <c r="L127" i="18"/>
  <c r="N127" i="18" s="1"/>
  <c r="L128" i="18"/>
  <c r="N128" i="18" s="1"/>
  <c r="L129" i="18"/>
  <c r="N129" i="18" s="1"/>
  <c r="L130" i="18"/>
  <c r="N130" i="18" s="1"/>
  <c r="L131" i="18"/>
  <c r="N131" i="18" s="1"/>
  <c r="I139" i="18"/>
  <c r="J139" i="18" s="1"/>
  <c r="K139" i="18"/>
  <c r="I140" i="18"/>
  <c r="J140" i="18" s="1"/>
  <c r="K140" i="18"/>
  <c r="I143" i="18"/>
  <c r="J143" i="18" s="1"/>
  <c r="K143" i="18"/>
  <c r="I154" i="18"/>
  <c r="J154" i="18" s="1"/>
  <c r="K154" i="18"/>
  <c r="I155" i="18"/>
  <c r="J155" i="18" s="1"/>
  <c r="L167" i="18"/>
  <c r="K91" i="18"/>
  <c r="K92" i="18" s="1"/>
  <c r="K198" i="18"/>
  <c r="I198" i="18"/>
  <c r="J198" i="18" s="1"/>
  <c r="K206" i="18"/>
  <c r="I206" i="18"/>
  <c r="J206" i="18" s="1"/>
  <c r="L28" i="18"/>
  <c r="N28" i="18" s="1"/>
  <c r="T28" i="18" s="1"/>
  <c r="K301" i="18"/>
  <c r="I301" i="18"/>
  <c r="J301" i="18" s="1"/>
  <c r="L62" i="18"/>
  <c r="N62" i="18" s="1"/>
  <c r="T62" i="18" s="1"/>
  <c r="J63" i="18"/>
  <c r="L66" i="18"/>
  <c r="N66" i="18" s="1"/>
  <c r="L67" i="18"/>
  <c r="N67" i="18" s="1"/>
  <c r="L70" i="18"/>
  <c r="N70" i="18" s="1"/>
  <c r="L72" i="18"/>
  <c r="N72" i="18" s="1"/>
  <c r="O72" i="18"/>
  <c r="L113" i="18"/>
  <c r="I114" i="18"/>
  <c r="K114" i="18"/>
  <c r="I115" i="18"/>
  <c r="J115" i="18" s="1"/>
  <c r="K115" i="18"/>
  <c r="I116" i="18"/>
  <c r="J116" i="18" s="1"/>
  <c r="K116" i="18"/>
  <c r="L125" i="18"/>
  <c r="I141" i="18"/>
  <c r="J141" i="18" s="1"/>
  <c r="K141" i="18"/>
  <c r="I144" i="18"/>
  <c r="J144" i="18" s="1"/>
  <c r="K144" i="18"/>
  <c r="I145" i="18"/>
  <c r="J145" i="18" s="1"/>
  <c r="K145" i="18"/>
  <c r="I91" i="18"/>
  <c r="I92" i="18" s="1"/>
  <c r="L169" i="18"/>
  <c r="N169" i="18" s="1"/>
  <c r="K171" i="18"/>
  <c r="I171" i="18"/>
  <c r="J171" i="18" s="1"/>
  <c r="O170" i="18"/>
  <c r="L171" i="18"/>
  <c r="N171" i="18" s="1"/>
  <c r="T171" i="18" s="1"/>
  <c r="K173" i="18"/>
  <c r="I173" i="18"/>
  <c r="J173" i="18" s="1"/>
  <c r="L173" i="18"/>
  <c r="N173" i="18" s="1"/>
  <c r="T173" i="18" s="1"/>
  <c r="K175" i="18"/>
  <c r="I175" i="18"/>
  <c r="J175" i="18" s="1"/>
  <c r="L175" i="18"/>
  <c r="N175" i="18" s="1"/>
  <c r="L181" i="18"/>
  <c r="O181" i="18"/>
  <c r="T181" i="18" s="1"/>
  <c r="K181" i="18"/>
  <c r="I181" i="18"/>
  <c r="J181" i="18" s="1"/>
  <c r="T197" i="18"/>
  <c r="L199" i="18"/>
  <c r="N199" i="18" s="1"/>
  <c r="O199" i="18"/>
  <c r="I200" i="18"/>
  <c r="J200" i="18" s="1"/>
  <c r="K200" i="18"/>
  <c r="O201" i="18"/>
  <c r="I202" i="18"/>
  <c r="J202" i="18" s="1"/>
  <c r="K202" i="18"/>
  <c r="L208" i="18"/>
  <c r="N208" i="18" s="1"/>
  <c r="L248" i="18"/>
  <c r="N248" i="18" s="1"/>
  <c r="O251" i="18"/>
  <c r="L255" i="18"/>
  <c r="N255" i="18" s="1"/>
  <c r="T255" i="18" s="1"/>
  <c r="L256" i="18"/>
  <c r="N256" i="18" s="1"/>
  <c r="T256" i="18" s="1"/>
  <c r="K257" i="18"/>
  <c r="I257" i="18"/>
  <c r="J257" i="18" s="1"/>
  <c r="L257" i="18"/>
  <c r="N257" i="18" s="1"/>
  <c r="L259" i="18"/>
  <c r="N259" i="18" s="1"/>
  <c r="L261" i="18"/>
  <c r="N261" i="18" s="1"/>
  <c r="O272" i="18"/>
  <c r="O270" i="18"/>
  <c r="O267" i="18"/>
  <c r="O266" i="18"/>
  <c r="O264" i="18"/>
  <c r="K263" i="18"/>
  <c r="I263" i="18"/>
  <c r="J263" i="18" s="1"/>
  <c r="O273" i="18"/>
  <c r="O271" i="18"/>
  <c r="O269" i="18"/>
  <c r="O265" i="18"/>
  <c r="L263" i="18"/>
  <c r="N263" i="18" s="1"/>
  <c r="L265" i="18"/>
  <c r="N265" i="18" s="1"/>
  <c r="L172" i="18"/>
  <c r="N172" i="18" s="1"/>
  <c r="T172" i="18" s="1"/>
  <c r="L174" i="18"/>
  <c r="N174" i="18" s="1"/>
  <c r="T174" i="18" s="1"/>
  <c r="L180" i="18"/>
  <c r="L182" i="18"/>
  <c r="O183" i="18"/>
  <c r="O184" i="18"/>
  <c r="O185" i="18"/>
  <c r="O188" i="18"/>
  <c r="I199" i="18"/>
  <c r="K199" i="18"/>
  <c r="O200" i="18"/>
  <c r="I201" i="18"/>
  <c r="J201" i="18" s="1"/>
  <c r="K201" i="18"/>
  <c r="O202" i="18"/>
  <c r="T203" i="18"/>
  <c r="L205" i="18"/>
  <c r="N205" i="18" s="1"/>
  <c r="L206" i="18"/>
  <c r="N206" i="18" s="1"/>
  <c r="T206" i="18" s="1"/>
  <c r="L207" i="18"/>
  <c r="N207" i="18" s="1"/>
  <c r="O207" i="18"/>
  <c r="I208" i="18"/>
  <c r="J208" i="18" s="1"/>
  <c r="M368" i="18"/>
  <c r="K368" i="18"/>
  <c r="I368" i="18"/>
  <c r="J368" i="18" s="1"/>
  <c r="M367" i="18"/>
  <c r="K367" i="18"/>
  <c r="I367" i="18"/>
  <c r="M300" i="18"/>
  <c r="M318" i="18" s="1"/>
  <c r="K300" i="18"/>
  <c r="I300" i="18"/>
  <c r="I216" i="18"/>
  <c r="J216" i="18" s="1"/>
  <c r="K216" i="18"/>
  <c r="M216" i="18"/>
  <c r="L240" i="18"/>
  <c r="I248" i="18"/>
  <c r="J248" i="18" s="1"/>
  <c r="K248" i="18"/>
  <c r="O250" i="18"/>
  <c r="I253" i="18"/>
  <c r="J253" i="18" s="1"/>
  <c r="K253" i="18"/>
  <c r="M253" i="18"/>
  <c r="I255" i="18"/>
  <c r="J255" i="18" s="1"/>
  <c r="I256" i="18"/>
  <c r="J256" i="18" s="1"/>
  <c r="K256" i="18"/>
  <c r="O257" i="18"/>
  <c r="O263" i="18"/>
  <c r="L269" i="18"/>
  <c r="N269" i="18" s="1"/>
  <c r="L290" i="18"/>
  <c r="N290" i="18" s="1"/>
  <c r="O290" i="18"/>
  <c r="L292" i="18"/>
  <c r="N292" i="18" s="1"/>
  <c r="L294" i="18"/>
  <c r="N294" i="18" s="1"/>
  <c r="K317" i="18"/>
  <c r="I317" i="18"/>
  <c r="J317" i="18" s="1"/>
  <c r="L306" i="18"/>
  <c r="N306" i="18" s="1"/>
  <c r="L258" i="18"/>
  <c r="N258" i="18" s="1"/>
  <c r="T258" i="18" s="1"/>
  <c r="L260" i="18"/>
  <c r="N260" i="18" s="1"/>
  <c r="O260" i="18"/>
  <c r="I261" i="18"/>
  <c r="J261" i="18" s="1"/>
  <c r="K261" i="18"/>
  <c r="L264" i="18"/>
  <c r="N264" i="18" s="1"/>
  <c r="I265" i="18"/>
  <c r="J265" i="18" s="1"/>
  <c r="K265" i="18"/>
  <c r="I267" i="18"/>
  <c r="J267" i="18" s="1"/>
  <c r="K267" i="18"/>
  <c r="I269" i="18"/>
  <c r="J269" i="18" s="1"/>
  <c r="K269" i="18"/>
  <c r="L289" i="18"/>
  <c r="L291" i="18"/>
  <c r="N291" i="18" s="1"/>
  <c r="O291" i="18"/>
  <c r="I292" i="18"/>
  <c r="K292" i="18"/>
  <c r="O293" i="18"/>
  <c r="I294" i="18"/>
  <c r="J294" i="18" s="1"/>
  <c r="L303" i="18"/>
  <c r="N303" i="18" s="1"/>
  <c r="I304" i="18"/>
  <c r="J304" i="18" s="1"/>
  <c r="K304" i="18"/>
  <c r="I306" i="18"/>
  <c r="J306" i="18" s="1"/>
  <c r="K306" i="18"/>
  <c r="L307" i="18"/>
  <c r="N307" i="18" s="1"/>
  <c r="L310" i="18"/>
  <c r="N310" i="18" s="1"/>
  <c r="T310" i="18" s="1"/>
  <c r="I311" i="18"/>
  <c r="J311" i="18" s="1"/>
  <c r="K311" i="18"/>
  <c r="L312" i="18"/>
  <c r="N312" i="18" s="1"/>
  <c r="T312" i="18" s="1"/>
  <c r="I313" i="18"/>
  <c r="J313" i="18" s="1"/>
  <c r="K313" i="18"/>
  <c r="L314" i="18"/>
  <c r="N314" i="18" s="1"/>
  <c r="T314" i="18" s="1"/>
  <c r="I315" i="18"/>
  <c r="J315" i="18" s="1"/>
  <c r="K315" i="18"/>
  <c r="T316" i="18"/>
  <c r="T342" i="18"/>
  <c r="J352" i="18"/>
  <c r="I352" i="18"/>
  <c r="L311" i="18"/>
  <c r="N311" i="18" s="1"/>
  <c r="L313" i="18"/>
  <c r="N313" i="18" s="1"/>
  <c r="L315" i="18"/>
  <c r="N315" i="18" s="1"/>
  <c r="T386" i="18"/>
  <c r="T381" i="18"/>
  <c r="T388" i="18"/>
  <c r="T390" i="18"/>
  <c r="T383" i="18"/>
  <c r="U394" i="18"/>
  <c r="T382" i="18"/>
  <c r="T397" i="18"/>
  <c r="T399" i="18"/>
  <c r="T169" i="18" l="1"/>
  <c r="T344" i="18"/>
  <c r="T261" i="18"/>
  <c r="U261" i="18" s="1"/>
  <c r="J109" i="18"/>
  <c r="O92" i="18"/>
  <c r="T233" i="18"/>
  <c r="T361" i="18"/>
  <c r="U361" i="18" s="1"/>
  <c r="U344" i="18"/>
  <c r="T161" i="18"/>
  <c r="T273" i="18"/>
  <c r="L63" i="18"/>
  <c r="I286" i="18"/>
  <c r="T259" i="18"/>
  <c r="U259" i="18" s="1"/>
  <c r="T265" i="18"/>
  <c r="U265" i="18" s="1"/>
  <c r="L218" i="18"/>
  <c r="N218" i="18" s="1"/>
  <c r="U55" i="18"/>
  <c r="L17" i="18"/>
  <c r="N17" i="18" s="1"/>
  <c r="T17" i="18" s="1"/>
  <c r="T248" i="18"/>
  <c r="U325" i="18"/>
  <c r="T359" i="18"/>
  <c r="U398" i="18"/>
  <c r="U396" i="18"/>
  <c r="U393" i="18"/>
  <c r="U380" i="18"/>
  <c r="U385" i="18"/>
  <c r="I362" i="18"/>
  <c r="J333" i="18"/>
  <c r="J336" i="18" s="1"/>
  <c r="J323" i="18"/>
  <c r="J329" i="18" s="1"/>
  <c r="M222" i="18"/>
  <c r="N63" i="18"/>
  <c r="L69" i="18"/>
  <c r="J48" i="18"/>
  <c r="J50" i="18" s="1"/>
  <c r="J126" i="18"/>
  <c r="L126" i="18" s="1"/>
  <c r="L132" i="18" s="1"/>
  <c r="M210" i="18"/>
  <c r="L286" i="18"/>
  <c r="K163" i="18"/>
  <c r="O345" i="18"/>
  <c r="L195" i="18"/>
  <c r="N195" i="18" s="1"/>
  <c r="T194" i="18"/>
  <c r="U194" i="18" s="1"/>
  <c r="U252" i="18"/>
  <c r="U262" i="18"/>
  <c r="L64" i="18"/>
  <c r="N64" i="18" s="1"/>
  <c r="K41" i="18"/>
  <c r="K109" i="18"/>
  <c r="U376" i="18"/>
  <c r="L160" i="18"/>
  <c r="L163" i="18" s="1"/>
  <c r="U379" i="18"/>
  <c r="O362" i="18"/>
  <c r="J232" i="18"/>
  <c r="J236" i="18" s="1"/>
  <c r="U374" i="18"/>
  <c r="T270" i="18"/>
  <c r="U270" i="18" s="1"/>
  <c r="L209" i="18"/>
  <c r="N209" i="18" s="1"/>
  <c r="T209" i="18" s="1"/>
  <c r="U209" i="18" s="1"/>
  <c r="T308" i="18"/>
  <c r="O30" i="18"/>
  <c r="J340" i="18"/>
  <c r="J345" i="18" s="1"/>
  <c r="T8" i="18"/>
  <c r="L241" i="18"/>
  <c r="N241" i="18" s="1"/>
  <c r="T241" i="18" s="1"/>
  <c r="U241" i="18" s="1"/>
  <c r="T304" i="18"/>
  <c r="T46" i="18"/>
  <c r="U46" i="18" s="1"/>
  <c r="T154" i="18"/>
  <c r="T140" i="18"/>
  <c r="U140" i="18" s="1"/>
  <c r="J57" i="18"/>
  <c r="F403" i="18"/>
  <c r="T141" i="18"/>
  <c r="U141" i="18" s="1"/>
  <c r="O149" i="18"/>
  <c r="T187" i="18"/>
  <c r="O50" i="18"/>
  <c r="U356" i="18"/>
  <c r="L30" i="18"/>
  <c r="I30" i="18"/>
  <c r="K30" i="18"/>
  <c r="T24" i="18"/>
  <c r="N30" i="18"/>
  <c r="O156" i="18"/>
  <c r="T153" i="18"/>
  <c r="U153" i="18" s="1"/>
  <c r="L107" i="18"/>
  <c r="N107" i="18" s="1"/>
  <c r="N109" i="18" s="1"/>
  <c r="U79" i="18"/>
  <c r="L279" i="18"/>
  <c r="U349" i="18"/>
  <c r="T26" i="18"/>
  <c r="U26" i="18" s="1"/>
  <c r="T65" i="18"/>
  <c r="N81" i="18"/>
  <c r="J79" i="18"/>
  <c r="J81" i="18" s="1"/>
  <c r="I81" i="18"/>
  <c r="T81" i="18"/>
  <c r="L81" i="18"/>
  <c r="T272" i="18"/>
  <c r="U272" i="18" s="1"/>
  <c r="T266" i="18"/>
  <c r="U266" i="18" s="1"/>
  <c r="J163" i="18"/>
  <c r="K57" i="18"/>
  <c r="T199" i="18"/>
  <c r="T13" i="18"/>
  <c r="J362" i="18"/>
  <c r="T29" i="18"/>
  <c r="T309" i="18"/>
  <c r="T215" i="18"/>
  <c r="U215" i="18" s="1"/>
  <c r="K362" i="18"/>
  <c r="K345" i="18"/>
  <c r="U254" i="18"/>
  <c r="U395" i="18"/>
  <c r="U391" i="18"/>
  <c r="U389" i="18"/>
  <c r="U387" i="18"/>
  <c r="U77" i="18"/>
  <c r="O352" i="18"/>
  <c r="K295" i="18"/>
  <c r="T264" i="18"/>
  <c r="U264" i="18" s="1"/>
  <c r="J227" i="18"/>
  <c r="J228" i="18" s="1"/>
  <c r="O222" i="18"/>
  <c r="K189" i="18"/>
  <c r="J28" i="18"/>
  <c r="J30" i="18" s="1"/>
  <c r="I163" i="18"/>
  <c r="K156" i="18"/>
  <c r="J101" i="18"/>
  <c r="J102" i="18" s="1"/>
  <c r="U27" i="18"/>
  <c r="T145" i="18"/>
  <c r="I57" i="18"/>
  <c r="T106" i="18"/>
  <c r="T294" i="18"/>
  <c r="T290" i="18"/>
  <c r="L253" i="18"/>
  <c r="N253" i="18" s="1"/>
  <c r="T131" i="18"/>
  <c r="T130" i="18"/>
  <c r="U130" i="18" s="1"/>
  <c r="T129" i="18"/>
  <c r="U129" i="18" s="1"/>
  <c r="T128" i="18"/>
  <c r="U128" i="18" s="1"/>
  <c r="T127" i="18"/>
  <c r="T235" i="18"/>
  <c r="T139" i="18"/>
  <c r="U139" i="18" s="1"/>
  <c r="T47" i="18"/>
  <c r="T269" i="18"/>
  <c r="U269" i="18" s="1"/>
  <c r="U108" i="18"/>
  <c r="T328" i="18"/>
  <c r="K222" i="18"/>
  <c r="T341" i="18"/>
  <c r="T234" i="18"/>
  <c r="T217" i="18"/>
  <c r="U217" i="18" s="1"/>
  <c r="L196" i="18"/>
  <c r="N196" i="18" s="1"/>
  <c r="U326" i="18"/>
  <c r="U302" i="18"/>
  <c r="U327" i="18"/>
  <c r="U155" i="18"/>
  <c r="U335" i="18"/>
  <c r="U249" i="18"/>
  <c r="J222" i="18"/>
  <c r="N362" i="18"/>
  <c r="L345" i="18"/>
  <c r="N340" i="18"/>
  <c r="U357" i="18"/>
  <c r="L336" i="18"/>
  <c r="N333" i="18"/>
  <c r="L362" i="18"/>
  <c r="L236" i="18"/>
  <c r="N232" i="18"/>
  <c r="L228" i="18"/>
  <c r="U143" i="18"/>
  <c r="L102" i="18"/>
  <c r="N101" i="18"/>
  <c r="L92" i="18"/>
  <c r="N90" i="18"/>
  <c r="N85" i="18"/>
  <c r="L86" i="18"/>
  <c r="U80" i="18"/>
  <c r="U144" i="18"/>
  <c r="N156" i="18"/>
  <c r="T292" i="18"/>
  <c r="M369" i="18"/>
  <c r="T208" i="18"/>
  <c r="U208" i="18" s="1"/>
  <c r="T175" i="18"/>
  <c r="T67" i="18"/>
  <c r="T66" i="18"/>
  <c r="U66" i="18" s="1"/>
  <c r="T114" i="18"/>
  <c r="U114" i="18" s="1"/>
  <c r="T15" i="18"/>
  <c r="T358" i="18"/>
  <c r="L352" i="18"/>
  <c r="U377" i="18"/>
  <c r="U78" i="18"/>
  <c r="O369" i="18"/>
  <c r="T343" i="18"/>
  <c r="L329" i="18"/>
  <c r="N323" i="18"/>
  <c r="U317" i="18"/>
  <c r="L149" i="18"/>
  <c r="N138" i="18"/>
  <c r="N57" i="18"/>
  <c r="T54" i="18"/>
  <c r="T57" i="18" s="1"/>
  <c r="L41" i="18"/>
  <c r="N35" i="18"/>
  <c r="L156" i="18"/>
  <c r="I109" i="18"/>
  <c r="U198" i="18"/>
  <c r="L57" i="18"/>
  <c r="U39" i="18"/>
  <c r="T313" i="18"/>
  <c r="U313" i="18" s="1"/>
  <c r="T306" i="18"/>
  <c r="I210" i="18"/>
  <c r="I119" i="18"/>
  <c r="K149" i="18"/>
  <c r="K73" i="18"/>
  <c r="I19" i="18"/>
  <c r="O19" i="18"/>
  <c r="T186" i="18"/>
  <c r="T315" i="18"/>
  <c r="U315" i="18" s="1"/>
  <c r="T311" i="18"/>
  <c r="I295" i="18"/>
  <c r="T291" i="18"/>
  <c r="U291" i="18" s="1"/>
  <c r="K274" i="18"/>
  <c r="T205" i="18"/>
  <c r="K210" i="18"/>
  <c r="T271" i="18"/>
  <c r="K119" i="18"/>
  <c r="T72" i="18"/>
  <c r="U72" i="18" s="1"/>
  <c r="T116" i="18"/>
  <c r="I73" i="18"/>
  <c r="K19" i="18"/>
  <c r="U206" i="18"/>
  <c r="U181" i="18"/>
  <c r="U173" i="18"/>
  <c r="U169" i="18"/>
  <c r="U62" i="18"/>
  <c r="U117" i="18"/>
  <c r="U171" i="18"/>
  <c r="U382" i="18"/>
  <c r="U383" i="18"/>
  <c r="U388" i="18"/>
  <c r="U386" i="18"/>
  <c r="O295" i="18"/>
  <c r="T250" i="18"/>
  <c r="M274" i="18"/>
  <c r="N240" i="18"/>
  <c r="K318" i="18"/>
  <c r="I369" i="18"/>
  <c r="J367" i="18"/>
  <c r="T202" i="18"/>
  <c r="L189" i="18"/>
  <c r="N180" i="18"/>
  <c r="U174" i="18"/>
  <c r="U172" i="18"/>
  <c r="T263" i="18"/>
  <c r="T267" i="18"/>
  <c r="T257" i="18"/>
  <c r="U256" i="18"/>
  <c r="U255" i="18"/>
  <c r="I222" i="18"/>
  <c r="T201" i="18"/>
  <c r="U197" i="18"/>
  <c r="T184" i="18"/>
  <c r="T185" i="18"/>
  <c r="O189" i="18"/>
  <c r="N125" i="18"/>
  <c r="U28" i="18"/>
  <c r="I189" i="18"/>
  <c r="L176" i="18"/>
  <c r="N167" i="18"/>
  <c r="J149" i="18"/>
  <c r="J114" i="18"/>
  <c r="J119" i="18" s="1"/>
  <c r="T70" i="18"/>
  <c r="T278" i="18"/>
  <c r="O279" i="18"/>
  <c r="N61" i="18"/>
  <c r="U37" i="18"/>
  <c r="U16" i="18"/>
  <c r="U14" i="18"/>
  <c r="U12" i="18"/>
  <c r="U10" i="18"/>
  <c r="J19" i="18"/>
  <c r="O176" i="18"/>
  <c r="I41" i="18"/>
  <c r="I149" i="18"/>
  <c r="U118" i="18"/>
  <c r="J73" i="18"/>
  <c r="U399" i="18"/>
  <c r="U397" i="18"/>
  <c r="U390" i="18"/>
  <c r="U381" i="18"/>
  <c r="U351" i="18"/>
  <c r="U316" i="18"/>
  <c r="T305" i="18"/>
  <c r="U342" i="18"/>
  <c r="U314" i="18"/>
  <c r="U312" i="18"/>
  <c r="U310" i="18"/>
  <c r="T307" i="18"/>
  <c r="T303" i="18"/>
  <c r="L295" i="18"/>
  <c r="N289" i="18"/>
  <c r="T260" i="18"/>
  <c r="U258" i="18"/>
  <c r="J292" i="18"/>
  <c r="J295" i="18" s="1"/>
  <c r="U248" i="18"/>
  <c r="O274" i="18"/>
  <c r="J274" i="18"/>
  <c r="L216" i="18"/>
  <c r="I318" i="18"/>
  <c r="J300" i="18"/>
  <c r="K369" i="18"/>
  <c r="L368" i="18"/>
  <c r="N368" i="18" s="1"/>
  <c r="T207" i="18"/>
  <c r="U203" i="18"/>
  <c r="T200" i="18"/>
  <c r="U182" i="18"/>
  <c r="J189" i="18"/>
  <c r="T293" i="18"/>
  <c r="U273" i="18"/>
  <c r="T251" i="18"/>
  <c r="I274" i="18"/>
  <c r="O210" i="18"/>
  <c r="J199" i="18"/>
  <c r="J210" i="18" s="1"/>
  <c r="T183" i="18"/>
  <c r="J91" i="18"/>
  <c r="J176" i="18" s="1"/>
  <c r="I176" i="18"/>
  <c r="L119" i="18"/>
  <c r="N113" i="18"/>
  <c r="O318" i="18"/>
  <c r="T301" i="18"/>
  <c r="T188" i="18"/>
  <c r="K176" i="18"/>
  <c r="J156" i="18"/>
  <c r="T115" i="18"/>
  <c r="J278" i="18"/>
  <c r="J279" i="18" s="1"/>
  <c r="I279" i="18"/>
  <c r="T285" i="18"/>
  <c r="O286" i="18"/>
  <c r="O73" i="18"/>
  <c r="J41" i="18"/>
  <c r="U13" i="18"/>
  <c r="U11" i="18"/>
  <c r="N9" i="18"/>
  <c r="T170" i="18"/>
  <c r="I156" i="18"/>
  <c r="T71" i="18"/>
  <c r="L109" i="18" l="1"/>
  <c r="L48" i="18"/>
  <c r="L50" i="18" s="1"/>
  <c r="N160" i="18"/>
  <c r="T160" i="18" s="1"/>
  <c r="T362" i="18"/>
  <c r="U306" i="18"/>
  <c r="U359" i="18"/>
  <c r="U233" i="18"/>
  <c r="T195" i="18"/>
  <c r="U161" i="18"/>
  <c r="U17" i="18"/>
  <c r="T63" i="18"/>
  <c r="U63" i="18" s="1"/>
  <c r="L19" i="18"/>
  <c r="U8" i="18"/>
  <c r="U24" i="18"/>
  <c r="N69" i="18"/>
  <c r="N210" i="18"/>
  <c r="N126" i="18"/>
  <c r="N132" i="18" s="1"/>
  <c r="U154" i="18"/>
  <c r="U47" i="18"/>
  <c r="U29" i="18"/>
  <c r="J132" i="18"/>
  <c r="U15" i="18"/>
  <c r="U304" i="18"/>
  <c r="L73" i="18"/>
  <c r="T64" i="18"/>
  <c r="U311" i="18"/>
  <c r="U199" i="18"/>
  <c r="T218" i="18"/>
  <c r="U308" i="18"/>
  <c r="M403" i="18"/>
  <c r="O403" i="18"/>
  <c r="I403" i="18"/>
  <c r="K403" i="18"/>
  <c r="U187" i="18"/>
  <c r="U235" i="18"/>
  <c r="U234" i="18"/>
  <c r="T30" i="18"/>
  <c r="U309" i="18"/>
  <c r="U294" i="18"/>
  <c r="L274" i="18"/>
  <c r="T156" i="18"/>
  <c r="U290" i="18"/>
  <c r="U292" i="18"/>
  <c r="U127" i="18"/>
  <c r="U131" i="18"/>
  <c r="U67" i="18"/>
  <c r="U175" i="18"/>
  <c r="U271" i="18"/>
  <c r="U145" i="18"/>
  <c r="U116" i="18"/>
  <c r="J92" i="18"/>
  <c r="U65" i="18"/>
  <c r="U81" i="18"/>
  <c r="L210" i="18"/>
  <c r="U205" i="18"/>
  <c r="U341" i="18"/>
  <c r="U106" i="18"/>
  <c r="U156" i="18"/>
  <c r="T196" i="18"/>
  <c r="U328" i="18"/>
  <c r="N41" i="18"/>
  <c r="T35" i="18"/>
  <c r="U54" i="18"/>
  <c r="U57" i="18" s="1"/>
  <c r="N329" i="18"/>
  <c r="T323" i="18"/>
  <c r="U343" i="18"/>
  <c r="N92" i="18"/>
  <c r="T90" i="18"/>
  <c r="N149" i="18"/>
  <c r="T138" i="18"/>
  <c r="T149" i="18" s="1"/>
  <c r="N352" i="18"/>
  <c r="U358" i="18"/>
  <c r="N86" i="18"/>
  <c r="T85" i="18"/>
  <c r="N102" i="18"/>
  <c r="T101" i="18"/>
  <c r="N228" i="18"/>
  <c r="T227" i="18"/>
  <c r="N236" i="18"/>
  <c r="T232" i="18"/>
  <c r="N336" i="18"/>
  <c r="T333" i="18"/>
  <c r="N345" i="18"/>
  <c r="T340" i="18"/>
  <c r="U186" i="18"/>
  <c r="U285" i="18"/>
  <c r="U301" i="18"/>
  <c r="U251" i="18"/>
  <c r="U293" i="18"/>
  <c r="U200" i="18"/>
  <c r="U207" i="18"/>
  <c r="L222" i="18"/>
  <c r="N216" i="18"/>
  <c r="U260" i="18"/>
  <c r="U303" i="18"/>
  <c r="U307" i="18"/>
  <c r="N48" i="18"/>
  <c r="T61" i="18"/>
  <c r="N176" i="18"/>
  <c r="T167" i="18"/>
  <c r="U184" i="18"/>
  <c r="U257" i="18"/>
  <c r="U267" i="18"/>
  <c r="U202" i="18"/>
  <c r="N274" i="18"/>
  <c r="T240" i="18"/>
  <c r="U250" i="18"/>
  <c r="T253" i="18"/>
  <c r="U115" i="18"/>
  <c r="U188" i="18"/>
  <c r="U71" i="18"/>
  <c r="U170" i="18"/>
  <c r="T9" i="18"/>
  <c r="N19" i="18"/>
  <c r="T286" i="18"/>
  <c r="T107" i="18"/>
  <c r="N119" i="18"/>
  <c r="T113" i="18"/>
  <c r="U183" i="18"/>
  <c r="T368" i="18"/>
  <c r="J318" i="18"/>
  <c r="L300" i="18"/>
  <c r="N295" i="18"/>
  <c r="T289" i="18"/>
  <c r="U305" i="18"/>
  <c r="T279" i="18"/>
  <c r="U278" i="18"/>
  <c r="U279" i="18" s="1"/>
  <c r="U70" i="18"/>
  <c r="U195" i="18"/>
  <c r="T125" i="18"/>
  <c r="U185" i="18"/>
  <c r="U201" i="18"/>
  <c r="U263" i="18"/>
  <c r="N189" i="18"/>
  <c r="T180" i="18"/>
  <c r="J369" i="18"/>
  <c r="L367" i="18"/>
  <c r="T210" i="18" l="1"/>
  <c r="N163" i="18"/>
  <c r="U362" i="18"/>
  <c r="U30" i="18"/>
  <c r="T126" i="18"/>
  <c r="T132" i="18" s="1"/>
  <c r="U64" i="18"/>
  <c r="N73" i="18"/>
  <c r="T69" i="18"/>
  <c r="T73" i="18" s="1"/>
  <c r="U218" i="18"/>
  <c r="U286" i="18"/>
  <c r="J403" i="18"/>
  <c r="T352" i="18"/>
  <c r="U196" i="18"/>
  <c r="U210" i="18" s="1"/>
  <c r="U340" i="18"/>
  <c r="U345" i="18" s="1"/>
  <c r="T345" i="18"/>
  <c r="T228" i="18"/>
  <c r="U227" i="18"/>
  <c r="U228" i="18" s="1"/>
  <c r="U85" i="18"/>
  <c r="U86" i="18" s="1"/>
  <c r="T86" i="18"/>
  <c r="U352" i="18"/>
  <c r="U138" i="18"/>
  <c r="U149" i="18" s="1"/>
  <c r="U90" i="18"/>
  <c r="U92" i="18" s="1"/>
  <c r="T92" i="18"/>
  <c r="T329" i="18"/>
  <c r="U323" i="18"/>
  <c r="U329" i="18" s="1"/>
  <c r="U35" i="18"/>
  <c r="U41" i="18" s="1"/>
  <c r="T41" i="18"/>
  <c r="T336" i="18"/>
  <c r="U333" i="18"/>
  <c r="U336" i="18" s="1"/>
  <c r="T236" i="18"/>
  <c r="U232" i="18"/>
  <c r="U236" i="18" s="1"/>
  <c r="T102" i="18"/>
  <c r="U101" i="18"/>
  <c r="U102" i="18" s="1"/>
  <c r="U180" i="18"/>
  <c r="U189" i="18" s="1"/>
  <c r="T189" i="18"/>
  <c r="U125" i="18"/>
  <c r="T295" i="18"/>
  <c r="U289" i="18"/>
  <c r="U295" i="18" s="1"/>
  <c r="U368" i="18"/>
  <c r="U107" i="18"/>
  <c r="U109" i="18" s="1"/>
  <c r="T109" i="18"/>
  <c r="U9" i="18"/>
  <c r="U19" i="18" s="1"/>
  <c r="T19" i="18"/>
  <c r="T163" i="18"/>
  <c r="U160" i="18"/>
  <c r="U163" i="18" s="1"/>
  <c r="T176" i="18"/>
  <c r="U167" i="18"/>
  <c r="U176" i="18" s="1"/>
  <c r="U61" i="18"/>
  <c r="N222" i="18"/>
  <c r="T216" i="18"/>
  <c r="L369" i="18"/>
  <c r="N367" i="18"/>
  <c r="L318" i="18"/>
  <c r="N300" i="18"/>
  <c r="T119" i="18"/>
  <c r="U113" i="18"/>
  <c r="U119" i="18" s="1"/>
  <c r="U253" i="18"/>
  <c r="T274" i="18"/>
  <c r="U240" i="18"/>
  <c r="N50" i="18"/>
  <c r="T48" i="18"/>
  <c r="U69" i="18" l="1"/>
  <c r="U73" i="18" s="1"/>
  <c r="U126" i="18"/>
  <c r="U132" i="18" s="1"/>
  <c r="L403" i="18"/>
  <c r="U274" i="18"/>
  <c r="N318" i="18"/>
  <c r="T300" i="18"/>
  <c r="N369" i="18"/>
  <c r="T367" i="18"/>
  <c r="U48" i="18"/>
  <c r="U50" i="18" s="1"/>
  <c r="T50" i="18"/>
  <c r="U216" i="18"/>
  <c r="U222" i="18" s="1"/>
  <c r="T222" i="18"/>
  <c r="N403" i="18" l="1"/>
  <c r="U367" i="18"/>
  <c r="U369" i="18" s="1"/>
  <c r="T369" i="18"/>
  <c r="T318" i="18"/>
  <c r="U300" i="18"/>
  <c r="U318" i="18" l="1"/>
  <c r="T400" i="18" l="1"/>
  <c r="T403" i="18" s="1"/>
  <c r="U400" i="18"/>
  <c r="U403" i="18" s="1"/>
</calcChain>
</file>

<file path=xl/sharedStrings.xml><?xml version="1.0" encoding="utf-8"?>
<sst xmlns="http://schemas.openxmlformats.org/spreadsheetml/2006/main" count="1267" uniqueCount="432">
  <si>
    <t>EZEQUIEL ARAIZA VICENCIO</t>
  </si>
  <si>
    <t>JUAN MANUEL RODRIGUEZ SANTANA</t>
  </si>
  <si>
    <t>LOURDES CURIEL FREGOSO</t>
  </si>
  <si>
    <t>LUZ MARIA GORDIAN GONZALEZ</t>
  </si>
  <si>
    <t>JUAN GIRALDO SANCHEZ GOMEZ</t>
  </si>
  <si>
    <t>HECTOR PEREZ GOMEZ</t>
  </si>
  <si>
    <t>LUIS ALBERTO PEREZ OLEA</t>
  </si>
  <si>
    <t>EDGAR GOMEZ BAÑUELOS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</si>
  <si>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</si>
  <si>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</si>
  <si>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</si>
  <si>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</si>
  <si>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</si>
  <si>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</si>
  <si>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JOSE SALVADOR DURAN ALONSO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</si>
  <si>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</si>
  <si>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</si>
  <si>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</si>
  <si>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</si>
  <si>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</si>
  <si>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</si>
  <si>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</si>
  <si>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</si>
  <si>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JUAN DE DIOS VAZQUEZ ALFEREZ</t>
  </si>
  <si>
    <t>LORENZO LOPEZ LOPEZ</t>
  </si>
  <si>
    <t>IRIS ADRIANA CRUZ JOYA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</si>
  <si>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</si>
  <si>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</si>
  <si>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</si>
  <si>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</si>
  <si>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</si>
  <si>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</si>
  <si>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LAUREANO JOYA RAMOS</t>
  </si>
  <si>
    <t>FRANCISCO JAVIER CASTILLON RODRIGUEZ</t>
  </si>
  <si>
    <t>ALFREDO SOLIS</t>
  </si>
  <si>
    <t>RODRIGO BRAVO NUÑEZ</t>
  </si>
  <si>
    <t>EVER PEREZ GOMEZ</t>
  </si>
  <si>
    <t>MARCELINO ARAIZA RODRIGUEZ</t>
  </si>
  <si>
    <t>CARLOS ARAIZA GONZALEZ</t>
  </si>
  <si>
    <t>EZEQUIEL ARAIZA GONZALEZ</t>
  </si>
  <si>
    <t>MARCO ANTONIO GONZALEZ HARO</t>
  </si>
  <si>
    <t>JOSE HERMILO CRUZ SANCHEZ</t>
  </si>
  <si>
    <t>RAUL ANTONIO CARDENAS IBARRA</t>
  </si>
  <si>
    <t>LUIS SOLIS BRAVO</t>
  </si>
  <si>
    <t>JOAQUIN SOLIS MARTINEZ</t>
  </si>
  <si>
    <t>ONOFRE PLACITO GORDIAN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</si>
  <si>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</si>
  <si>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</si>
  <si>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</si>
  <si>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</si>
  <si>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</si>
  <si>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</si>
  <si>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</si>
  <si>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</si>
  <si>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HECTOR RANGEL CRUZ CRUZ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</si>
  <si>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</si>
  <si>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</si>
  <si>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</si>
  <si>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</si>
  <si>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</si>
  <si>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</si>
  <si>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</si>
  <si>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</si>
  <si>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</si>
  <si>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</si>
  <si>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</si>
  <si>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</si>
  <si>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</si>
  <si>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</si>
  <si>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</si>
  <si>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</si>
  <si>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LUIS RAMON RODRIGUEZ X</t>
  </si>
  <si>
    <t>OTROS DESCUENTOS</t>
  </si>
  <si>
    <t>RAFAEL RIOS RAYA</t>
  </si>
  <si>
    <t>TIEMPO EXTRA</t>
  </si>
  <si>
    <t>RUBEN PLACITO JOYA</t>
  </si>
  <si>
    <t>LUIS ANTONIO  HERNANDEZ JOYA</t>
  </si>
  <si>
    <t>OMAR DE JESUS GARCIA</t>
  </si>
  <si>
    <t>RAMIRO JOYA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</si>
  <si>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</si>
  <si>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</si>
  <si>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</si>
  <si>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</si>
  <si>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</si>
  <si>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</si>
  <si>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</si>
  <si>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</si>
  <si>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</si>
  <si>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</si>
  <si>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</si>
  <si>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</si>
  <si>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</si>
  <si>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</si>
  <si>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</si>
  <si>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</si>
  <si>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</si>
  <si>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</si>
  <si>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</si>
  <si>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</si>
  <si>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</si>
  <si>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</si>
  <si>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</si>
  <si>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</si>
  <si>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</si>
  <si>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</si>
  <si>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</si>
  <si>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</si>
  <si>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</si>
  <si>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</si>
  <si>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</si>
  <si>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</si>
  <si>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</si>
  <si>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</si>
  <si>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</si>
  <si>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</si>
  <si>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</si>
  <si>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</si>
  <si>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JORGE ARMANDO BAÑUELOS CASTILLON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</si>
  <si>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</si>
  <si>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</si>
  <si>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</si>
  <si>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</si>
  <si>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</si>
  <si>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</si>
  <si>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</si>
  <si>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SANTOS ADRIANA PIÑA BERNAL</t>
  </si>
  <si>
    <t>JESUS DANIEL VELASCO SANTANA</t>
  </si>
  <si>
    <t>ERIK MEJIA SERRANO</t>
  </si>
  <si>
    <t>RAUL VICENTE GUEVARA</t>
  </si>
  <si>
    <t>ADRIANA ARACELI CARDENAS GARCIA</t>
  </si>
  <si>
    <t>J. CARLOS RUBIO CARRILLO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</si>
  <si>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</si>
  <si>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</si>
  <si>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</si>
  <si>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</si>
  <si>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</si>
  <si>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</si>
  <si>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</si>
  <si>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</si>
  <si>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</si>
  <si>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</si>
  <si>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</si>
  <si>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</si>
  <si>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</si>
  <si>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</si>
  <si>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MARIO ALEJANDRO AGUIRRE ROMERO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</si>
  <si>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</si>
  <si>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</si>
  <si>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</si>
  <si>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</si>
  <si>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</si>
  <si>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</si>
  <si>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</si>
  <si>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</si>
  <si>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</si>
  <si>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JEFE DE COMPRAS</t>
  </si>
  <si>
    <t>OFICIAL MAYOR ADMINISTRATIVO</t>
  </si>
  <si>
    <t>INSPECTOR GANADERIA</t>
  </si>
  <si>
    <t>MEDICO MUNICIPAL</t>
  </si>
  <si>
    <t>AGENTE OPERATIVO  A</t>
  </si>
  <si>
    <t>ANTOANI  ISAEL HERNANDEZ ARAIZA</t>
  </si>
  <si>
    <t>GILBERTO DIAZ JURADO</t>
  </si>
  <si>
    <t>GABRIELA LORENZO GUZMAN</t>
  </si>
  <si>
    <t>JEFE DE CATASTRO</t>
  </si>
  <si>
    <t>CINTHIA GABRIELA HERRERA RODRIGUEZ</t>
  </si>
  <si>
    <t>TARIFAS Y TABLAS PARA SUELDOS Y SALARIOS VIGENTES A PARTIR DEL</t>
  </si>
  <si>
    <t>TABLA DEL SUBSIDIO PARA EL EMPLEO MENSUAL ENERO-DICIEMBRE 2016</t>
  </si>
  <si>
    <t>01 DE ENERO DE 2016</t>
  </si>
  <si>
    <t>Publicadas en el DOF el 05 de Enero de 2016</t>
  </si>
  <si>
    <t>MONTO DE INGRESOS QUE SIRVEN</t>
  </si>
  <si>
    <t>TARIFA DEL IMPUESTO QUINCENAL 2016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</si>
  <si>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</si>
  <si>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</si>
  <si>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</si>
  <si>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</si>
  <si>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</si>
  <si>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</si>
  <si>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</si>
  <si>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</si>
  <si>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</si>
  <si>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</si>
  <si>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</si>
  <si>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</si>
  <si>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</si>
  <si>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</si>
  <si>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</si>
  <si>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</si>
  <si>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</si>
  <si>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</si>
  <si>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</si>
  <si>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</si>
  <si>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</si>
  <si>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</si>
  <si>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MIGUEL BECERRA VALDEZ</t>
  </si>
  <si>
    <t>DIRECTOR DE CULTURA</t>
  </si>
  <si>
    <t>DIRECTOR DE OBRAS PUBLICAS</t>
  </si>
  <si>
    <t>AUXILIAR DE PREV. SOCIAL DEL DELITO Y VINCULACION CIUDADANA</t>
  </si>
  <si>
    <t>DANIELA CASTILLO AVENDAÑO</t>
  </si>
  <si>
    <t>ASISTENTE</t>
  </si>
  <si>
    <t>JOSSUE ISAAC CORONA GUDIÑO</t>
  </si>
  <si>
    <t>EVELIA PIÑA BERNAL</t>
  </si>
  <si>
    <t>MAURA LETICIA QUINTERO ESPINOZA</t>
  </si>
  <si>
    <t>MARGARITA ZARAGOZA PEREZ</t>
  </si>
  <si>
    <t>JORGE ALFREDO ROMERO  HERRERA</t>
  </si>
  <si>
    <t>EDGAR GARCIA JOYA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</si>
  <si>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</si>
  <si>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</si>
  <si>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</si>
  <si>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</si>
  <si>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</si>
  <si>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LUIS RODRIGO NUÑEZ GOMEZ</t>
  </si>
  <si>
    <t>EUTIQUIO  RODRIGUEZ ANDRADE</t>
  </si>
  <si>
    <t>SECRETARIA "B"</t>
  </si>
  <si>
    <t>PRESIDENTE</t>
  </si>
  <si>
    <t>PRISCILIANO RAMIREZ GORDIAN</t>
  </si>
  <si>
    <t>GABRIEL CAMPOS PEÑA</t>
  </si>
  <si>
    <t>FIDENCIO RIVAS RIVAS</t>
  </si>
  <si>
    <t>KAREN ALEJANDRA VENTURA LOPEZ ARAIZA</t>
  </si>
  <si>
    <t>ELENO YAMELIK ARAIZA NOYOLA</t>
  </si>
  <si>
    <t>MARIA GRACIELA OROZCO BELMAN</t>
  </si>
  <si>
    <t>MANUEL RAMOS CASTILLON</t>
  </si>
  <si>
    <t>MARIA LUISA GUERRA JOYA</t>
  </si>
  <si>
    <t>EVANGELINA JOYA RODRIGUEZ</t>
  </si>
  <si>
    <t>LOURDES OLIVERA MORENO</t>
  </si>
  <si>
    <t>NOE RODRIGUEZ RAMOS</t>
  </si>
  <si>
    <t>CELESTE LORENZO LORENZO</t>
  </si>
  <si>
    <t>JEFE DE JURIDICO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</si>
  <si>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</si>
  <si>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</si>
  <si>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</si>
  <si>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</si>
  <si>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</si>
  <si>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</si>
  <si>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GILDARDO JACOBO NUÑEZ</t>
  </si>
  <si>
    <t>DIRECTOR DE SERVICIOS PUBLICOS</t>
  </si>
  <si>
    <t>JEFE DE MODULO DE MAQUINARIA</t>
  </si>
  <si>
    <t>LUIS ALBERTO CARDENAS REYNOSO</t>
  </si>
  <si>
    <t>SUBDIRECTOR DE OBRAS PUBLICAS</t>
  </si>
  <si>
    <t>DIRECTOR DE PROGRAMAS ESTRATEGICOS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</si>
  <si>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</si>
  <si>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</si>
  <si>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</si>
  <si>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</si>
  <si>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</si>
  <si>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REGIDORES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</si>
  <si>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</si>
  <si>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</si>
  <si>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</si>
  <si>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</si>
  <si>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</si>
  <si>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</si>
  <si>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</si>
  <si>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</si>
  <si>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</si>
  <si>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</si>
  <si>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</si>
  <si>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</si>
  <si>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</si>
  <si>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</si>
  <si>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</si>
  <si>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PROGRAMAS ESTRATEGICOS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</si>
  <si>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</si>
  <si>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</si>
  <si>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</si>
  <si>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</si>
  <si>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</si>
  <si>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</si>
  <si>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</si>
  <si>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</si>
  <si>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</si>
  <si>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</si>
  <si>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</si>
  <si>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</si>
  <si>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</si>
  <si>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</si>
  <si>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</si>
  <si>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</si>
  <si>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</si>
  <si>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</si>
  <si>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</si>
  <si>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</si>
  <si>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</si>
  <si>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</si>
  <si>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</si>
  <si>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JESUS ROMERO PEREZ</t>
  </si>
  <si>
    <t>VERONICA JOYA RODRIGUEZ</t>
  </si>
  <si>
    <t>ISMAEL GARCIA JOYA</t>
  </si>
  <si>
    <t>JOSE ANGEL LORENZO CASTILLON</t>
  </si>
  <si>
    <t>ARNOLDO CAMPOS VALDOVINOS</t>
  </si>
  <si>
    <t>ENCARGADO DE LA DIRECCION DE SEGURIDAD PUBLICA</t>
  </si>
  <si>
    <t>GILBERTO RODRIGUEZ URRUTIA</t>
  </si>
  <si>
    <t>ENCARGADO DE LA UNIDAD DE REHABILITACION MUNICIPAL</t>
  </si>
  <si>
    <t>AGENTE OPERATIVO A</t>
  </si>
  <si>
    <t>MUNICIPIO DE CABO CORRIENTES JALISCO</t>
  </si>
  <si>
    <t>ADMINISTRACION  2018 - 2021</t>
  </si>
  <si>
    <t>PLAZA  CON PERMISO</t>
  </si>
  <si>
    <t xml:space="preserve">ADMINISTRADOR DE RASTRO </t>
  </si>
  <si>
    <t>SECRETARO TECNICO</t>
  </si>
  <si>
    <t>CHOFER DE PRESIDENCIA</t>
  </si>
  <si>
    <t>CAJA TALPENSE</t>
  </si>
  <si>
    <t>RICARDO JULIAN MACEDO BAUMGARTEN</t>
  </si>
  <si>
    <t>EDSON OSVALDO CASITLLON MORA</t>
  </si>
  <si>
    <t>JEFE DE CONTABILIDAD</t>
  </si>
  <si>
    <t>PLAZA VACANTE</t>
  </si>
  <si>
    <t>OSCAR CASTILLON ROMERO</t>
  </si>
  <si>
    <t>LINDA CRYSTAL ASENCIO</t>
  </si>
  <si>
    <t>ISMAEL CASTRO ALONSO</t>
  </si>
  <si>
    <t>ALEXIS IVAN RODRIGUEZ ORTEGA</t>
  </si>
  <si>
    <t>LUIS FERNANDO GARCIA COVARRUBIAS</t>
  </si>
  <si>
    <t>JESUS JOYA DAVILA</t>
  </si>
  <si>
    <t>CINTHIA NAZARET AMARAL ESQUIVEL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</si>
  <si>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</si>
  <si>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</si>
  <si>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</si>
  <si>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</si>
  <si>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</si>
  <si>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</si>
  <si>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</si>
  <si>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</si>
  <si>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</si>
  <si>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</si>
  <si>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SERGIO SOTO ALVAREZ</t>
  </si>
  <si>
    <t>ALBERTO SAHADE CORTES</t>
  </si>
  <si>
    <t>ASESOR JURIDICO</t>
  </si>
  <si>
    <t>J. JESUS CASTAÑEDA PEÑA</t>
  </si>
  <si>
    <t>ROGELIO JOYA CRUZ</t>
  </si>
  <si>
    <t>JAVIER FABIAN VENTURA</t>
  </si>
  <si>
    <t>LILLIA HAYDEE MUÑOZ BECERRA</t>
  </si>
  <si>
    <t>DIRECTORA DE CADI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</si>
  <si>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</si>
  <si>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</si>
  <si>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</si>
  <si>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</si>
  <si>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</si>
  <si>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</si>
  <si>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</si>
  <si>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ELIAS NOE SOTO TAPIA</t>
  </si>
  <si>
    <t>JAVIER MOISES SOLIS IBARRA</t>
  </si>
  <si>
    <t>HELADIO RODRIGUEZ GONZALEZ</t>
  </si>
  <si>
    <t>SAORI BENITEZ RENTERIA</t>
  </si>
  <si>
    <t>ANA MARIA ULLOA MENDEZ</t>
  </si>
  <si>
    <t>ASESOR CONTABLE</t>
  </si>
  <si>
    <t xml:space="preserve"> </t>
  </si>
  <si>
    <t>LUIS DAVID VARGAS RODRIGUEZ</t>
  </si>
  <si>
    <t>ENCARGADO DEL INSTITUTO DE LA JUVENTUD</t>
  </si>
  <si>
    <t xml:space="preserve">JOSE DE JESUS DELGADO VALDEZ </t>
  </si>
  <si>
    <t>ARIANA ERENDIRA BAÑUELOS GOMEZ</t>
  </si>
  <si>
    <t>GILBERTO GOMEZ GORDIAN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</si>
  <si>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</si>
  <si>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</si>
  <si>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</si>
  <si>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</si>
  <si>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</si>
  <si>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</si>
  <si>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</si>
  <si>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MARCO ANTONIO PEÑA GONZALEZ</t>
  </si>
  <si>
    <t>JEFE DE PROGRAMAS SOCIALES</t>
  </si>
  <si>
    <t>FELICITAS MANRIQUEZ NAVA</t>
  </si>
  <si>
    <t>SECRETARIA B</t>
  </si>
  <si>
    <t>DIRECTORA DE EDUCACION</t>
  </si>
  <si>
    <t>JOSE IGNACIO AGUIRRE HERNANDEZ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</si>
  <si>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</si>
  <si>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</si>
  <si>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</si>
  <si>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</si>
  <si>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</si>
  <si>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</si>
  <si>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AUXILIAR DE BALLET TIUTL</t>
  </si>
  <si>
    <t>INSTRUCTOR DE MARIACHI</t>
  </si>
  <si>
    <t>INSTRUCTOR DE PINTURA</t>
  </si>
  <si>
    <t>INSTRUCTOR BALLET FOLCLORICO CABO CORRIENTES</t>
  </si>
  <si>
    <t>INSTRUCTOR DE BALLET FOLCLORICO YELAPA</t>
  </si>
  <si>
    <t>INSTRUCTOR ESCULTURA EN BARRO</t>
  </si>
  <si>
    <t>INSTRUCTOR ARTISTICO</t>
  </si>
  <si>
    <t>JUAN RAMON ARAIZA RIZO</t>
  </si>
  <si>
    <t>SEGURIDAD PUBLICA</t>
  </si>
  <si>
    <t>JOSE RAMIRO CASTILLON RODRIGUEZ</t>
  </si>
  <si>
    <t>SAVANNAH SANCHAY ROBLES RODRIGUEZ</t>
  </si>
  <si>
    <t>MAGDA VIANEY ESPINOSA AVILA</t>
  </si>
  <si>
    <t>SEGISMUNDO JOYA ESTRADA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</si>
  <si>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</si>
  <si>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</si>
  <si>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</si>
  <si>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</si>
  <si>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</si>
  <si>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</si>
  <si>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</si>
  <si>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JOSE CORNELIO BARAJAS GUZMAN</t>
  </si>
  <si>
    <t>PERLA PAOLA VAZQUEZ BETANCOURT</t>
  </si>
  <si>
    <t>LUIS GILDARDO REYNOZO SALGADO</t>
  </si>
  <si>
    <t>NORMAN DANIEL GONZALEZ GORDIAN</t>
  </si>
  <si>
    <t>ALDO PAUL OCHOA GOMEZ</t>
  </si>
  <si>
    <t>PLAZA CON PERMISO</t>
  </si>
  <si>
    <t>PERSONAL ADMINISTRATIVO Y SEGURIDAD PUBLICA</t>
  </si>
  <si>
    <t>OSCAR ALEJANDRO ALCARAZ SERNA</t>
  </si>
  <si>
    <t>JESUS GABRIEL MORA SOLIS</t>
  </si>
  <si>
    <t>CUENTA PUBLICA</t>
  </si>
  <si>
    <t>JOSE DE JESUS QUINTERO GOMEZ</t>
  </si>
  <si>
    <t>MIGUEL ANGEL PANTOJA ARIAS</t>
  </si>
  <si>
    <t>JUAN ANTONIO SALCEDO PADILLA</t>
  </si>
  <si>
    <t>MANTENIMIENTO A</t>
  </si>
  <si>
    <t>JEFE DE ELECTRICISTAS</t>
  </si>
  <si>
    <t>OBRAS PUBLICAS Y PLANEACION Y DESARROLLO URBANO</t>
  </si>
  <si>
    <t>DESARROLLO SOCIAL Y PARTICIPACION CIUDADANA</t>
  </si>
  <si>
    <t>SUBDIRECTOR DE DESARROLLO SOCIAL Y PARTICIPACION CIUDADANA</t>
  </si>
  <si>
    <t>DIRECTOR DE DESARROLLO SOCIAL Y PARTICIPACION CIUDADANA</t>
  </si>
  <si>
    <t>CHOFER A</t>
  </si>
  <si>
    <t>AGENTE  OPERATIVO</t>
  </si>
  <si>
    <t>DANIEL ALONSO ARREOLA RIOS</t>
  </si>
  <si>
    <t>JUEZ MUNICIPAL</t>
  </si>
  <si>
    <t>SECRETARIO DE ACUERDOS</t>
  </si>
  <si>
    <t>NOTIFICADOR DE JUEZ MPAL.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</si>
  <si>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</si>
  <si>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</si>
  <si>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</si>
  <si>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</si>
  <si>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</si>
  <si>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</si>
  <si>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</si>
  <si>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JOSE LUIS ROMERO AMARAL</t>
  </si>
  <si>
    <t>JEFE DE PROMOCION ECONOMICA</t>
  </si>
  <si>
    <t>MIGUEL TRINIDAD RODRIGUEZ MONTERO</t>
  </si>
  <si>
    <t>DIRECTOR DE DEPORTES</t>
  </si>
  <si>
    <t>SERGIO ALEJANDRO BARBOZA ROBLES</t>
  </si>
  <si>
    <t>JOSE ADAN SOTO GONZALEZ</t>
  </si>
  <si>
    <t>EUSEBIO LUNA FLORES</t>
  </si>
  <si>
    <t>PERMISO TEMPORAL</t>
  </si>
  <si>
    <t>PLAZA CON PERMISO TEMPORAL</t>
  </si>
  <si>
    <t>SECRETARIA CONTABLE</t>
  </si>
  <si>
    <t>ROSA ISELA SOLIS VELASCO</t>
  </si>
  <si>
    <t>BONO DEL SERVIDOR PUBLICO 2020</t>
  </si>
  <si>
    <t>JOSE DE JESUS NAVARRO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</si>
</sst>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8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8" fillId="3" borderId="0" xfId="0" applyNumberFormat="1" applyFont="1" applyFill="1" applyBorder="1" applyAlignment="1" applyProtection="1">
      <alignment horizontal="centerContinuous"/>
    </xf>
    <xf numFmtId="0" fontId="0" fillId="3" borderId="0" xfId="0" applyNumberFormat="1" applyFill="1" applyBorder="1" applyAlignment="1" applyProtection="1"/>
    <xf numFmtId="0" fontId="9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Continuous"/>
    </xf>
    <xf numFmtId="0" fontId="8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/>
    </xf>
    <xf numFmtId="165" fontId="9" fillId="3" borderId="0" xfId="1" applyFont="1" applyFill="1" applyBorder="1" applyAlignment="1" applyProtection="1"/>
    <xf numFmtId="10" fontId="9" fillId="3" borderId="0" xfId="0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165" fontId="4" fillId="2" borderId="0" xfId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8" borderId="1" xfId="2" applyNumberFormat="1" applyFont="1" applyFill="1" applyBorder="1" applyAlignment="1">
      <alignment horizontal="center" vertical="center"/>
    </xf>
    <xf numFmtId="165" fontId="3" fillId="8" borderId="1" xfId="1" applyFont="1" applyFill="1" applyBorder="1" applyAlignment="1">
      <alignment horizontal="center" vertical="center"/>
    </xf>
    <xf numFmtId="165" fontId="5" fillId="8" borderId="1" xfId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0" fontId="3" fillId="8" borderId="1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2" fontId="3" fillId="8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8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2" fillId="6" borderId="1" xfId="2" applyNumberFormat="1" applyFont="1" applyFill="1" applyBorder="1" applyAlignment="1">
      <alignment horizontal="center" vertical="center"/>
    </xf>
    <xf numFmtId="165" fontId="3" fillId="6" borderId="1" xfId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18" fillId="0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165" fontId="3" fillId="0" borderId="1" xfId="1" applyFont="1" applyFill="1" applyBorder="1" applyAlignment="1">
      <alignment horizontal="right" vertical="center"/>
    </xf>
    <xf numFmtId="165" fontId="4" fillId="2" borderId="0" xfId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165" fontId="3" fillId="0" borderId="0" xfId="1" applyFont="1" applyFill="1" applyBorder="1" applyAlignment="1">
      <alignment horizontal="center" vertical="center"/>
    </xf>
    <xf numFmtId="165" fontId="4" fillId="0" borderId="0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5" fontId="5" fillId="6" borderId="1" xfId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3" fillId="2" borderId="1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7" borderId="1" xfId="2" applyNumberFormat="1" applyFont="1" applyFill="1" applyBorder="1" applyAlignment="1">
      <alignment horizontal="center" vertical="center"/>
    </xf>
    <xf numFmtId="165" fontId="3" fillId="7" borderId="1" xfId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3" fillId="8" borderId="1" xfId="0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3" fillId="8" borderId="1" xfId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0" fontId="6" fillId="8" borderId="1" xfId="2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145741</xdr:rowOff>
    </xdr:from>
    <xdr:to>
      <xdr:col>1</xdr:col>
      <xdr:colOff>1308099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0" y="145741"/>
          <a:ext cx="1276349" cy="1213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9"/>
  <sheetViews>
    <sheetView tabSelected="1" topLeftCell="A385" zoomScale="75" zoomScaleNormal="75" workbookViewId="0">
      <selection activeCell="U410" sqref="U410"/>
    </sheetView>
  </sheetViews>
  <sheetFormatPr baseColWidth="10" defaultColWidth="11.44140625" defaultRowHeight="14.4" x14ac:dyDescent="0.3"/>
  <cols>
    <col min="1" max="1" width="5.6640625" style="35" customWidth="1"/>
    <col min="2" max="2" width="34.109375" style="130" customWidth="1"/>
    <col min="3" max="3" width="22.44140625" style="131" customWidth="1"/>
    <col min="4" max="4" width="4.33203125" style="35" customWidth="1"/>
    <col min="5" max="5" width="8.33203125" style="35" customWidth="1"/>
    <col min="6" max="6" width="14.88671875" style="35" customWidth="1"/>
    <col min="7" max="7" width="15.6640625" style="35" customWidth="1"/>
    <col min="8" max="8" width="12.5546875" style="35" customWidth="1"/>
    <col min="9" max="11" width="11.88671875" style="35" hidden="1" customWidth="1"/>
    <col min="12" max="12" width="10.44140625" style="35" hidden="1" customWidth="1"/>
    <col min="13" max="13" width="12.33203125" style="35" hidden="1" customWidth="1"/>
    <col min="14" max="14" width="12.88671875" style="35" customWidth="1"/>
    <col min="15" max="15" width="11.33203125" style="35" customWidth="1"/>
    <col min="16" max="16" width="12.44140625" style="35" customWidth="1"/>
    <col min="17" max="17" width="11.88671875" style="35" customWidth="1"/>
    <col min="18" max="18" width="14.5546875" style="35" customWidth="1"/>
    <col min="19" max="19" width="12.33203125" style="35" customWidth="1"/>
    <col min="20" max="20" width="14.88671875" style="35" customWidth="1"/>
    <col min="21" max="21" width="15.44140625" style="35" customWidth="1"/>
    <col min="22" max="16384" width="11.44140625" style="13"/>
  </cols>
  <sheetData>
    <row r="1" spans="1:21" ht="31.2" x14ac:dyDescent="0.3">
      <c r="A1" s="176" t="s">
        <v>293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25.8" x14ac:dyDescent="0.3">
      <c r="A2" s="177" t="s">
        <v>294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25.8" x14ac:dyDescent="0.3">
      <c r="A3" s="178" t="s">
        <v>393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23.4" x14ac:dyDescent="0.3">
      <c r="A4" s="179" t="s">
        <v>430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x14ac:dyDescent="0.3">
      <c r="A5" s="20"/>
      <c r="B5" s="104"/>
      <c r="C5" s="10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21" x14ac:dyDescent="0.3">
      <c r="A6" s="180" t="s">
        <v>244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1:21" s="35" customFormat="1" ht="36.75" customHeight="1" x14ac:dyDescent="0.3">
      <c r="A7" s="21" t="s">
        <v>69</v>
      </c>
      <c r="B7" s="36" t="s">
        <v>17</v>
      </c>
      <c r="C7" s="21" t="s">
        <v>84</v>
      </c>
      <c r="D7" s="21" t="s">
        <v>27</v>
      </c>
      <c r="E7" s="21" t="s">
        <v>19</v>
      </c>
      <c r="F7" s="21" t="s">
        <v>18</v>
      </c>
      <c r="G7" s="21" t="s">
        <v>66</v>
      </c>
      <c r="H7" s="21" t="s">
        <v>74</v>
      </c>
      <c r="I7" s="37" t="s">
        <v>188</v>
      </c>
      <c r="J7" s="37" t="s">
        <v>189</v>
      </c>
      <c r="K7" s="37" t="s">
        <v>190</v>
      </c>
      <c r="L7" s="37" t="s">
        <v>191</v>
      </c>
      <c r="M7" s="21" t="s">
        <v>192</v>
      </c>
      <c r="N7" s="21" t="s">
        <v>67</v>
      </c>
      <c r="O7" s="21" t="s">
        <v>68</v>
      </c>
      <c r="P7" s="21" t="s">
        <v>20</v>
      </c>
      <c r="Q7" s="21" t="s">
        <v>299</v>
      </c>
      <c r="R7" s="21" t="s">
        <v>72</v>
      </c>
      <c r="S7" s="21" t="s">
        <v>82</v>
      </c>
      <c r="T7" s="21" t="s">
        <v>80</v>
      </c>
      <c r="U7" s="21" t="s">
        <v>81</v>
      </c>
    </row>
    <row r="8" spans="1:21" x14ac:dyDescent="0.3">
      <c r="A8" s="22">
        <v>1</v>
      </c>
      <c r="B8" s="105" t="s">
        <v>219</v>
      </c>
      <c r="C8" s="105" t="s">
        <v>85</v>
      </c>
      <c r="D8" s="39">
        <v>15</v>
      </c>
      <c r="E8" s="40">
        <v>824.36</v>
      </c>
      <c r="F8" s="41">
        <f>D8*E8</f>
        <v>12365.4</v>
      </c>
      <c r="G8" s="25"/>
      <c r="H8" s="25"/>
      <c r="I8" s="40">
        <f>VLOOKUP($F$8,Tabisr,1)</f>
        <v>10248.01</v>
      </c>
      <c r="J8" s="41">
        <f>+F8-I8</f>
        <v>2117.3899999999994</v>
      </c>
      <c r="K8" s="42">
        <f>VLOOKUP($F$8,Tabisr,4)</f>
        <v>0.23519999999999999</v>
      </c>
      <c r="L8" s="40">
        <f>(F8-10248.01)*23.52%</f>
        <v>498.01012799999984</v>
      </c>
      <c r="M8" s="40">
        <v>1641.75</v>
      </c>
      <c r="N8" s="40">
        <f t="shared" ref="N8:N16" si="0">M8+L8</f>
        <v>2139.7601279999999</v>
      </c>
      <c r="O8" s="40">
        <f>VLOOKUP($F$8,Tabsub,3)</f>
        <v>0</v>
      </c>
      <c r="P8" s="41"/>
      <c r="Q8" s="41"/>
      <c r="R8" s="41"/>
      <c r="S8" s="41"/>
      <c r="T8" s="41">
        <f t="shared" ref="T8:T17" si="1">F8+G8+H8-N8+O8-P8-Q8-R8-S8</f>
        <v>10225.639872</v>
      </c>
      <c r="U8" s="41">
        <f t="shared" ref="U8:U17" si="2">T8-G8</f>
        <v>10225.639872</v>
      </c>
    </row>
    <row r="9" spans="1:21" x14ac:dyDescent="0.3">
      <c r="A9" s="22">
        <v>2</v>
      </c>
      <c r="B9" s="105" t="s">
        <v>220</v>
      </c>
      <c r="C9" s="16" t="s">
        <v>85</v>
      </c>
      <c r="D9" s="39">
        <v>15</v>
      </c>
      <c r="E9" s="40">
        <v>824.36</v>
      </c>
      <c r="F9" s="41">
        <f t="shared" ref="F9:F16" si="3">D9*E9</f>
        <v>12365.4</v>
      </c>
      <c r="G9" s="25"/>
      <c r="H9" s="25"/>
      <c r="I9" s="40">
        <f>VLOOKUP($F$9,Tabisr,1)</f>
        <v>10248.01</v>
      </c>
      <c r="J9" s="41">
        <f t="shared" ref="J9:J16" si="4">+F9-I9</f>
        <v>2117.3899999999994</v>
      </c>
      <c r="K9" s="42">
        <f>VLOOKUP($F$9,Tabisr,4)</f>
        <v>0.23519999999999999</v>
      </c>
      <c r="L9" s="40">
        <f t="shared" ref="L9:L16" si="5">(F9-10248.01)*23.52%</f>
        <v>498.01012799999984</v>
      </c>
      <c r="M9" s="40">
        <v>1641.75</v>
      </c>
      <c r="N9" s="40">
        <f t="shared" si="0"/>
        <v>2139.7601279999999</v>
      </c>
      <c r="O9" s="40">
        <f>VLOOKUP($F$9,Tabsub,3)</f>
        <v>0</v>
      </c>
      <c r="P9" s="41"/>
      <c r="Q9" s="41"/>
      <c r="R9" s="41"/>
      <c r="S9" s="41"/>
      <c r="T9" s="41">
        <f t="shared" si="1"/>
        <v>10225.639872</v>
      </c>
      <c r="U9" s="41">
        <f t="shared" si="2"/>
        <v>10225.639872</v>
      </c>
    </row>
    <row r="10" spans="1:21" x14ac:dyDescent="0.3">
      <c r="A10" s="22">
        <v>3</v>
      </c>
      <c r="B10" s="105" t="s">
        <v>221</v>
      </c>
      <c r="C10" s="105" t="s">
        <v>85</v>
      </c>
      <c r="D10" s="39">
        <v>15</v>
      </c>
      <c r="E10" s="40">
        <v>824.36</v>
      </c>
      <c r="F10" s="41">
        <f t="shared" si="3"/>
        <v>12365.4</v>
      </c>
      <c r="G10" s="25"/>
      <c r="H10" s="25"/>
      <c r="I10" s="40">
        <f>VLOOKUP($F$10,Tabisr,1)</f>
        <v>10248.01</v>
      </c>
      <c r="J10" s="41">
        <f t="shared" si="4"/>
        <v>2117.3899999999994</v>
      </c>
      <c r="K10" s="42">
        <f>VLOOKUP($F$10,Tabisr,4)</f>
        <v>0.23519999999999999</v>
      </c>
      <c r="L10" s="40">
        <f t="shared" si="5"/>
        <v>498.01012799999984</v>
      </c>
      <c r="M10" s="40">
        <v>1641.75</v>
      </c>
      <c r="N10" s="40">
        <f t="shared" si="0"/>
        <v>2139.7601279999999</v>
      </c>
      <c r="O10" s="40">
        <f>VLOOKUP($F$10,Tabsub,3)</f>
        <v>0</v>
      </c>
      <c r="P10" s="41"/>
      <c r="Q10" s="41"/>
      <c r="R10" s="41"/>
      <c r="S10" s="41"/>
      <c r="T10" s="41">
        <f t="shared" si="1"/>
        <v>10225.639872</v>
      </c>
      <c r="U10" s="41">
        <f t="shared" si="2"/>
        <v>10225.639872</v>
      </c>
    </row>
    <row r="11" spans="1:21" x14ac:dyDescent="0.3">
      <c r="A11" s="22">
        <v>4</v>
      </c>
      <c r="B11" s="105" t="s">
        <v>222</v>
      </c>
      <c r="C11" s="106" t="s">
        <v>85</v>
      </c>
      <c r="D11" s="39">
        <v>15</v>
      </c>
      <c r="E11" s="40">
        <v>824.36</v>
      </c>
      <c r="F11" s="41">
        <f t="shared" si="3"/>
        <v>12365.4</v>
      </c>
      <c r="G11" s="25"/>
      <c r="H11" s="25"/>
      <c r="I11" s="40">
        <f>VLOOKUP($F$11,Tabisr,1)</f>
        <v>10248.01</v>
      </c>
      <c r="J11" s="41">
        <f t="shared" si="4"/>
        <v>2117.3899999999994</v>
      </c>
      <c r="K11" s="42">
        <f>VLOOKUP($F$11,Tabisr,4)</f>
        <v>0.23519999999999999</v>
      </c>
      <c r="L11" s="40">
        <f t="shared" si="5"/>
        <v>498.01012799999984</v>
      </c>
      <c r="M11" s="40">
        <v>1641.75</v>
      </c>
      <c r="N11" s="40">
        <f t="shared" si="0"/>
        <v>2139.7601279999999</v>
      </c>
      <c r="O11" s="40">
        <f>VLOOKUP($F$11,Tabsub,3)</f>
        <v>0</v>
      </c>
      <c r="P11" s="41"/>
      <c r="Q11" s="41"/>
      <c r="R11" s="41"/>
      <c r="S11" s="41"/>
      <c r="T11" s="41">
        <f t="shared" si="1"/>
        <v>10225.639872</v>
      </c>
      <c r="U11" s="41">
        <f t="shared" si="2"/>
        <v>10225.639872</v>
      </c>
    </row>
    <row r="12" spans="1:21" x14ac:dyDescent="0.3">
      <c r="A12" s="22">
        <v>5</v>
      </c>
      <c r="B12" s="105" t="s">
        <v>287</v>
      </c>
      <c r="C12" s="107" t="s">
        <v>85</v>
      </c>
      <c r="D12" s="39">
        <v>15</v>
      </c>
      <c r="E12" s="40">
        <v>824.36</v>
      </c>
      <c r="F12" s="41">
        <f t="shared" si="3"/>
        <v>12365.4</v>
      </c>
      <c r="G12" s="25"/>
      <c r="H12" s="25"/>
      <c r="I12" s="40">
        <f>VLOOKUP($F$12,Tabisr,1)</f>
        <v>10248.01</v>
      </c>
      <c r="J12" s="41">
        <f t="shared" si="4"/>
        <v>2117.3899999999994</v>
      </c>
      <c r="K12" s="42">
        <f>VLOOKUP($F$12,Tabisr,4)</f>
        <v>0.23519999999999999</v>
      </c>
      <c r="L12" s="40">
        <f t="shared" si="5"/>
        <v>498.01012799999984</v>
      </c>
      <c r="M12" s="40">
        <v>1641.75</v>
      </c>
      <c r="N12" s="40">
        <f t="shared" si="0"/>
        <v>2139.7601279999999</v>
      </c>
      <c r="O12" s="40">
        <f>VLOOKUP($F$12,Tabsub,3)</f>
        <v>0</v>
      </c>
      <c r="P12" s="41"/>
      <c r="Q12" s="41"/>
      <c r="R12" s="41"/>
      <c r="S12" s="41"/>
      <c r="T12" s="41">
        <f t="shared" si="1"/>
        <v>10225.639872</v>
      </c>
      <c r="U12" s="41">
        <f t="shared" si="2"/>
        <v>10225.639872</v>
      </c>
    </row>
    <row r="13" spans="1:21" x14ac:dyDescent="0.3">
      <c r="A13" s="22">
        <v>6</v>
      </c>
      <c r="B13" s="105" t="s">
        <v>223</v>
      </c>
      <c r="C13" s="106" t="s">
        <v>85</v>
      </c>
      <c r="D13" s="39">
        <v>15</v>
      </c>
      <c r="E13" s="40">
        <v>824.36</v>
      </c>
      <c r="F13" s="41">
        <f t="shared" si="3"/>
        <v>12365.4</v>
      </c>
      <c r="G13" s="25"/>
      <c r="H13" s="25"/>
      <c r="I13" s="40">
        <f>VLOOKUP($F$13,Tabisr,1)</f>
        <v>10248.01</v>
      </c>
      <c r="J13" s="41">
        <f t="shared" si="4"/>
        <v>2117.3899999999994</v>
      </c>
      <c r="K13" s="42">
        <f>VLOOKUP($F$13,Tabisr,4)</f>
        <v>0.23519999999999999</v>
      </c>
      <c r="L13" s="40">
        <f t="shared" si="5"/>
        <v>498.01012799999984</v>
      </c>
      <c r="M13" s="40">
        <v>1641.75</v>
      </c>
      <c r="N13" s="40">
        <f t="shared" si="0"/>
        <v>2139.7601279999999</v>
      </c>
      <c r="O13" s="40">
        <f>VLOOKUP($F$13,Tabsub,3)</f>
        <v>0</v>
      </c>
      <c r="P13" s="41"/>
      <c r="Q13" s="41"/>
      <c r="R13" s="41"/>
      <c r="S13" s="41"/>
      <c r="T13" s="41">
        <f t="shared" si="1"/>
        <v>10225.639872</v>
      </c>
      <c r="U13" s="41">
        <f t="shared" si="2"/>
        <v>10225.639872</v>
      </c>
    </row>
    <row r="14" spans="1:21" s="18" customFormat="1" x14ac:dyDescent="0.3">
      <c r="A14" s="22">
        <v>7</v>
      </c>
      <c r="B14" s="105" t="s">
        <v>224</v>
      </c>
      <c r="C14" s="107" t="s">
        <v>85</v>
      </c>
      <c r="D14" s="39">
        <v>15</v>
      </c>
      <c r="E14" s="40">
        <v>824.36</v>
      </c>
      <c r="F14" s="41">
        <f t="shared" si="3"/>
        <v>12365.4</v>
      </c>
      <c r="G14" s="25"/>
      <c r="H14" s="25"/>
      <c r="I14" s="40">
        <f>VLOOKUP($F$14,Tabisr,1)</f>
        <v>10248.01</v>
      </c>
      <c r="J14" s="41">
        <f t="shared" si="4"/>
        <v>2117.3899999999994</v>
      </c>
      <c r="K14" s="42">
        <f>VLOOKUP($F$14,Tabisr,4)</f>
        <v>0.23519999999999999</v>
      </c>
      <c r="L14" s="40">
        <f t="shared" si="5"/>
        <v>498.01012799999984</v>
      </c>
      <c r="M14" s="40">
        <v>1641.75</v>
      </c>
      <c r="N14" s="40">
        <f t="shared" si="0"/>
        <v>2139.7601279999999</v>
      </c>
      <c r="O14" s="40">
        <f>VLOOKUP($F$14,Tabsub,3)</f>
        <v>0</v>
      </c>
      <c r="P14" s="41"/>
      <c r="Q14" s="41"/>
      <c r="R14" s="41"/>
      <c r="S14" s="41"/>
      <c r="T14" s="41">
        <f t="shared" si="1"/>
        <v>10225.639872</v>
      </c>
      <c r="U14" s="41">
        <f t="shared" si="2"/>
        <v>10225.639872</v>
      </c>
    </row>
    <row r="15" spans="1:21" x14ac:dyDescent="0.3">
      <c r="A15" s="22">
        <v>8</v>
      </c>
      <c r="B15" s="105" t="s">
        <v>225</v>
      </c>
      <c r="C15" s="106" t="s">
        <v>85</v>
      </c>
      <c r="D15" s="39">
        <v>15</v>
      </c>
      <c r="E15" s="40">
        <v>824.36</v>
      </c>
      <c r="F15" s="41">
        <f t="shared" si="3"/>
        <v>12365.4</v>
      </c>
      <c r="G15" s="25"/>
      <c r="H15" s="25"/>
      <c r="I15" s="40">
        <f>VLOOKUP($F$15,Tabisr,1)</f>
        <v>10248.01</v>
      </c>
      <c r="J15" s="41">
        <f t="shared" si="4"/>
        <v>2117.3899999999994</v>
      </c>
      <c r="K15" s="42">
        <f>VLOOKUP($F$15,Tabisr,4)</f>
        <v>0.23519999999999999</v>
      </c>
      <c r="L15" s="40">
        <f t="shared" si="5"/>
        <v>498.01012799999984</v>
      </c>
      <c r="M15" s="40">
        <v>1641.75</v>
      </c>
      <c r="N15" s="40">
        <f t="shared" si="0"/>
        <v>2139.7601279999999</v>
      </c>
      <c r="O15" s="40">
        <f>VLOOKUP($F$15,Tabsub,3)</f>
        <v>0</v>
      </c>
      <c r="P15" s="41"/>
      <c r="Q15" s="41"/>
      <c r="R15" s="41"/>
      <c r="S15" s="41"/>
      <c r="T15" s="41">
        <f t="shared" si="1"/>
        <v>10225.639872</v>
      </c>
      <c r="U15" s="41">
        <f t="shared" si="2"/>
        <v>10225.639872</v>
      </c>
    </row>
    <row r="16" spans="1:21" x14ac:dyDescent="0.3">
      <c r="A16" s="22">
        <v>9</v>
      </c>
      <c r="B16" s="105" t="s">
        <v>419</v>
      </c>
      <c r="C16" s="105" t="s">
        <v>85</v>
      </c>
      <c r="D16" s="39">
        <v>15</v>
      </c>
      <c r="E16" s="40">
        <v>824.36</v>
      </c>
      <c r="F16" s="41">
        <f t="shared" si="3"/>
        <v>12365.4</v>
      </c>
      <c r="G16" s="25"/>
      <c r="H16" s="40"/>
      <c r="I16" s="40">
        <f>VLOOKUP($F$16,Tabisr,1)</f>
        <v>10248.01</v>
      </c>
      <c r="J16" s="41">
        <f t="shared" si="4"/>
        <v>2117.3899999999994</v>
      </c>
      <c r="K16" s="42">
        <f>VLOOKUP($F$16,Tabisr,4)</f>
        <v>0.23519999999999999</v>
      </c>
      <c r="L16" s="40">
        <f t="shared" si="5"/>
        <v>498.01012799999984</v>
      </c>
      <c r="M16" s="40">
        <v>1641.75</v>
      </c>
      <c r="N16" s="40">
        <f t="shared" si="0"/>
        <v>2139.7601279999999</v>
      </c>
      <c r="O16" s="40">
        <f>VLOOKUP($F$16,Tabsub,3)</f>
        <v>0</v>
      </c>
      <c r="P16" s="41"/>
      <c r="Q16" s="41"/>
      <c r="R16" s="41"/>
      <c r="S16" s="41"/>
      <c r="T16" s="41">
        <f t="shared" si="1"/>
        <v>10225.639872</v>
      </c>
      <c r="U16" s="41">
        <f t="shared" si="2"/>
        <v>10225.639872</v>
      </c>
    </row>
    <row r="17" spans="1:21" x14ac:dyDescent="0.3">
      <c r="A17" s="23">
        <v>10</v>
      </c>
      <c r="B17" s="105" t="s">
        <v>119</v>
      </c>
      <c r="C17" s="105" t="s">
        <v>297</v>
      </c>
      <c r="D17" s="39">
        <v>15</v>
      </c>
      <c r="E17" s="40">
        <v>414.83</v>
      </c>
      <c r="F17" s="41">
        <f>D17*E17</f>
        <v>6222.45</v>
      </c>
      <c r="G17" s="40"/>
      <c r="H17" s="40"/>
      <c r="I17" s="40">
        <f>VLOOKUP($F$209,Tabisr,1)</f>
        <v>5081.01</v>
      </c>
      <c r="J17" s="41">
        <f>+F17-I17</f>
        <v>1141.4399999999996</v>
      </c>
      <c r="K17" s="42">
        <f>VLOOKUP($F$209,Tabisr,4)</f>
        <v>0.21360000000000001</v>
      </c>
      <c r="L17" s="40">
        <f>+J17*K17</f>
        <v>243.81158399999993</v>
      </c>
      <c r="M17" s="40">
        <f>VLOOKUP($F$209,Tabisr,3)</f>
        <v>538.20000000000005</v>
      </c>
      <c r="N17" s="40">
        <f>+L17+M17</f>
        <v>782.01158399999997</v>
      </c>
      <c r="O17" s="40">
        <f>VLOOKUP($F$367,Tabsub,3)</f>
        <v>0</v>
      </c>
      <c r="P17" s="40"/>
      <c r="Q17" s="40"/>
      <c r="R17" s="40"/>
      <c r="S17" s="40"/>
      <c r="T17" s="41">
        <f t="shared" si="1"/>
        <v>5440.438416</v>
      </c>
      <c r="U17" s="41">
        <f t="shared" si="2"/>
        <v>5440.438416</v>
      </c>
    </row>
    <row r="18" spans="1:21" x14ac:dyDescent="0.3">
      <c r="A18" s="28">
        <v>11</v>
      </c>
      <c r="B18" s="111" t="s">
        <v>303</v>
      </c>
      <c r="C18" s="17" t="s">
        <v>86</v>
      </c>
      <c r="D18" s="171"/>
      <c r="E18" s="59"/>
      <c r="F18" s="59"/>
      <c r="G18" s="59"/>
      <c r="H18" s="77"/>
      <c r="I18" s="59"/>
      <c r="J18" s="61"/>
      <c r="K18" s="62"/>
      <c r="L18" s="59"/>
      <c r="M18" s="59"/>
      <c r="N18" s="59"/>
      <c r="O18" s="59"/>
      <c r="P18" s="77"/>
      <c r="Q18" s="77"/>
      <c r="R18" s="77"/>
      <c r="S18" s="77"/>
      <c r="T18" s="61"/>
      <c r="U18" s="61"/>
    </row>
    <row r="19" spans="1:21" x14ac:dyDescent="0.3">
      <c r="A19" s="24"/>
      <c r="B19" s="110"/>
      <c r="C19" s="110"/>
      <c r="D19" s="49" t="s">
        <v>342</v>
      </c>
      <c r="E19" s="50"/>
      <c r="F19" s="51">
        <f>SUM(F8:F18)</f>
        <v>117511.04999999997</v>
      </c>
      <c r="G19" s="51">
        <f>SUM(G8:G18)</f>
        <v>0</v>
      </c>
      <c r="H19" s="51">
        <f t="shared" ref="H19:M19" si="6">SUM(H8:H18)</f>
        <v>0</v>
      </c>
      <c r="I19" s="51">
        <f t="shared" si="6"/>
        <v>97313.099999999991</v>
      </c>
      <c r="J19" s="51">
        <f t="shared" si="6"/>
        <v>20197.949999999993</v>
      </c>
      <c r="K19" s="51">
        <f t="shared" si="6"/>
        <v>2.3304</v>
      </c>
      <c r="L19" s="51">
        <f t="shared" si="6"/>
        <v>4725.9027359999982</v>
      </c>
      <c r="M19" s="51">
        <f t="shared" si="6"/>
        <v>15313.95</v>
      </c>
      <c r="N19" s="51">
        <f t="shared" ref="N19:U19" si="7">SUM(N8:N18)</f>
        <v>20039.852736000001</v>
      </c>
      <c r="O19" s="51">
        <f t="shared" si="7"/>
        <v>0</v>
      </c>
      <c r="P19" s="51">
        <f t="shared" si="7"/>
        <v>0</v>
      </c>
      <c r="Q19" s="51">
        <f t="shared" si="7"/>
        <v>0</v>
      </c>
      <c r="R19" s="51">
        <f t="shared" si="7"/>
        <v>0</v>
      </c>
      <c r="S19" s="51">
        <f t="shared" si="7"/>
        <v>0</v>
      </c>
      <c r="T19" s="51">
        <f t="shared" si="7"/>
        <v>97471.197264000002</v>
      </c>
      <c r="U19" s="51">
        <f t="shared" si="7"/>
        <v>97471.197264000002</v>
      </c>
    </row>
    <row r="20" spans="1:21" x14ac:dyDescent="0.3">
      <c r="A20" s="24"/>
      <c r="B20" s="110"/>
      <c r="C20" s="110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3">
      <c r="A21" s="24"/>
      <c r="B21" s="110"/>
      <c r="C21" s="110"/>
      <c r="D21" s="49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8" x14ac:dyDescent="0.3">
      <c r="A22" s="173" t="s">
        <v>245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1:21" ht="33.75" customHeight="1" x14ac:dyDescent="0.3">
      <c r="A23" s="21" t="s">
        <v>69</v>
      </c>
      <c r="B23" s="21" t="s">
        <v>17</v>
      </c>
      <c r="C23" s="21" t="s">
        <v>84</v>
      </c>
      <c r="D23" s="21" t="s">
        <v>27</v>
      </c>
      <c r="E23" s="21" t="s">
        <v>19</v>
      </c>
      <c r="F23" s="21" t="s">
        <v>18</v>
      </c>
      <c r="G23" s="21" t="s">
        <v>66</v>
      </c>
      <c r="H23" s="21" t="s">
        <v>74</v>
      </c>
      <c r="I23" s="37" t="s">
        <v>188</v>
      </c>
      <c r="J23" s="37" t="s">
        <v>189</v>
      </c>
      <c r="K23" s="37" t="s">
        <v>190</v>
      </c>
      <c r="L23" s="37" t="s">
        <v>191</v>
      </c>
      <c r="M23" s="21" t="s">
        <v>192</v>
      </c>
      <c r="N23" s="21" t="s">
        <v>67</v>
      </c>
      <c r="O23" s="21" t="s">
        <v>68</v>
      </c>
      <c r="P23" s="21" t="s">
        <v>20</v>
      </c>
      <c r="Q23" s="21" t="s">
        <v>299</v>
      </c>
      <c r="R23" s="21" t="s">
        <v>72</v>
      </c>
      <c r="S23" s="21" t="s">
        <v>82</v>
      </c>
      <c r="T23" s="21" t="s">
        <v>80</v>
      </c>
      <c r="U23" s="21" t="s">
        <v>81</v>
      </c>
    </row>
    <row r="24" spans="1:21" s="18" customFormat="1" x14ac:dyDescent="0.3">
      <c r="A24" s="22">
        <v>12</v>
      </c>
      <c r="B24" s="14" t="s">
        <v>214</v>
      </c>
      <c r="C24" s="15" t="s">
        <v>213</v>
      </c>
      <c r="D24" s="43">
        <v>15</v>
      </c>
      <c r="E24" s="52">
        <v>1787.61</v>
      </c>
      <c r="F24" s="48">
        <f t="shared" ref="F24:F28" si="8">D24*E24</f>
        <v>26814.149999999998</v>
      </c>
      <c r="G24" s="40"/>
      <c r="H24" s="40"/>
      <c r="I24" s="52">
        <f>VLOOKUP($F$24,Tabisr,1)</f>
        <v>16153.01</v>
      </c>
      <c r="J24" s="48">
        <f t="shared" ref="J24:J28" si="9">+F24-I24</f>
        <v>10661.139999999998</v>
      </c>
      <c r="K24" s="53">
        <f>VLOOKUP($F$24,Tabisr,4)</f>
        <v>0.3</v>
      </c>
      <c r="L24" s="52">
        <f>(F24-16153.01)*30%</f>
        <v>3198.3419999999992</v>
      </c>
      <c r="M24" s="52">
        <f>VLOOKUP($F$24,Tabisr,3)</f>
        <v>3030.6</v>
      </c>
      <c r="N24" s="52">
        <f>3030.6+((F24-16153.01)*30%)</f>
        <v>6228.9419999999991</v>
      </c>
      <c r="O24" s="52">
        <f>VLOOKUP($F$24,Tabsub,3)</f>
        <v>0</v>
      </c>
      <c r="P24" s="40"/>
      <c r="Q24" s="40"/>
      <c r="R24" s="40"/>
      <c r="S24" s="40"/>
      <c r="T24" s="48">
        <f t="shared" ref="T24:T28" si="10">F24+G24+H24-N24+O24-P24-Q24-R24-S24</f>
        <v>20585.207999999999</v>
      </c>
      <c r="U24" s="48">
        <f t="shared" ref="U24:U28" si="11">T24-G24</f>
        <v>20585.207999999999</v>
      </c>
    </row>
    <row r="25" spans="1:21" x14ac:dyDescent="0.3">
      <c r="A25" s="28">
        <v>13</v>
      </c>
      <c r="B25" s="111" t="s">
        <v>303</v>
      </c>
      <c r="C25" s="111" t="s">
        <v>298</v>
      </c>
      <c r="D25" s="58"/>
      <c r="E25" s="59"/>
      <c r="F25" s="59"/>
      <c r="G25" s="59"/>
      <c r="H25" s="79"/>
      <c r="I25" s="59"/>
      <c r="J25" s="61"/>
      <c r="K25" s="62"/>
      <c r="L25" s="59"/>
      <c r="M25" s="59"/>
      <c r="N25" s="167"/>
      <c r="O25" s="59"/>
      <c r="P25" s="59"/>
      <c r="Q25" s="59"/>
      <c r="R25" s="59"/>
      <c r="S25" s="59"/>
      <c r="T25" s="61"/>
      <c r="U25" s="61"/>
    </row>
    <row r="26" spans="1:21" x14ac:dyDescent="0.3">
      <c r="A26" s="22">
        <v>14</v>
      </c>
      <c r="B26" s="14" t="s">
        <v>216</v>
      </c>
      <c r="C26" s="113" t="s">
        <v>240</v>
      </c>
      <c r="D26" s="43">
        <v>15</v>
      </c>
      <c r="E26" s="52">
        <v>536.54</v>
      </c>
      <c r="F26" s="52">
        <f>D26*E26</f>
        <v>8048.0999999999995</v>
      </c>
      <c r="G26" s="40"/>
      <c r="H26" s="40"/>
      <c r="I26" s="52">
        <f>VLOOKUP($F$26,Tabisr,1)</f>
        <v>5081.01</v>
      </c>
      <c r="J26" s="48">
        <f t="shared" si="9"/>
        <v>2967.0899999999992</v>
      </c>
      <c r="K26" s="53">
        <f>VLOOKUP($F$26,Tabisr,4)</f>
        <v>0.21360000000000001</v>
      </c>
      <c r="L26" s="52">
        <f>(F26-5081.01)*21.36%-153.47</f>
        <v>480.30042399999979</v>
      </c>
      <c r="M26" s="52">
        <v>538.20000000000005</v>
      </c>
      <c r="N26" s="52">
        <f>L26+M26</f>
        <v>1018.5004239999998</v>
      </c>
      <c r="O26" s="52">
        <f>VLOOKUP($F$26,Tabsub,3)</f>
        <v>0</v>
      </c>
      <c r="P26" s="40"/>
      <c r="Q26" s="40"/>
      <c r="R26" s="40"/>
      <c r="S26" s="40"/>
      <c r="T26" s="48">
        <f t="shared" si="10"/>
        <v>7029.5995759999996</v>
      </c>
      <c r="U26" s="48">
        <f t="shared" si="11"/>
        <v>7029.5995759999996</v>
      </c>
    </row>
    <row r="27" spans="1:21" x14ac:dyDescent="0.3">
      <c r="A27" s="22">
        <v>15</v>
      </c>
      <c r="B27" s="14" t="s">
        <v>239</v>
      </c>
      <c r="C27" s="113" t="s">
        <v>241</v>
      </c>
      <c r="D27" s="43">
        <v>15</v>
      </c>
      <c r="E27" s="52">
        <v>536.54</v>
      </c>
      <c r="F27" s="52">
        <f>D27*E27</f>
        <v>8048.0999999999995</v>
      </c>
      <c r="G27" s="40"/>
      <c r="H27" s="40"/>
      <c r="I27" s="52">
        <f>VLOOKUP($F$26,Tabisr,1)</f>
        <v>5081.01</v>
      </c>
      <c r="J27" s="48">
        <f t="shared" si="9"/>
        <v>2967.0899999999992</v>
      </c>
      <c r="K27" s="53">
        <f>VLOOKUP($F$26,Tabisr,4)</f>
        <v>0.21360000000000001</v>
      </c>
      <c r="L27" s="52">
        <f>(F27-5081.01)*21.36%-155.67</f>
        <v>478.10042399999986</v>
      </c>
      <c r="M27" s="52">
        <v>538.20000000000005</v>
      </c>
      <c r="N27" s="52">
        <v>1018.5</v>
      </c>
      <c r="O27" s="52">
        <f>VLOOKUP($F$26,Tabsub,3)</f>
        <v>0</v>
      </c>
      <c r="P27" s="40"/>
      <c r="Q27" s="40"/>
      <c r="R27" s="40"/>
      <c r="S27" s="40"/>
      <c r="T27" s="48">
        <f t="shared" si="10"/>
        <v>7029.5999999999995</v>
      </c>
      <c r="U27" s="48">
        <f t="shared" si="11"/>
        <v>7029.5999999999995</v>
      </c>
    </row>
    <row r="28" spans="1:21" x14ac:dyDescent="0.3">
      <c r="A28" s="22">
        <v>16</v>
      </c>
      <c r="B28" s="14" t="s">
        <v>273</v>
      </c>
      <c r="C28" s="15" t="s">
        <v>86</v>
      </c>
      <c r="D28" s="43">
        <v>15</v>
      </c>
      <c r="E28" s="52">
        <v>263.56</v>
      </c>
      <c r="F28" s="52">
        <f t="shared" si="8"/>
        <v>3953.4</v>
      </c>
      <c r="G28" s="40"/>
      <c r="H28" s="40"/>
      <c r="I28" s="52">
        <f>VLOOKUP($F$28,Tabisr,1)</f>
        <v>3651.01</v>
      </c>
      <c r="J28" s="48">
        <f t="shared" si="9"/>
        <v>302.38999999999987</v>
      </c>
      <c r="K28" s="53">
        <f>VLOOKUP($F$28,Tabisr,4)</f>
        <v>0.16</v>
      </c>
      <c r="L28" s="52">
        <f>(F28-3651.01)*16%</f>
        <v>48.382399999999983</v>
      </c>
      <c r="M28" s="52">
        <v>293.25</v>
      </c>
      <c r="N28" s="52">
        <f>L28+M28</f>
        <v>341.63239999999996</v>
      </c>
      <c r="O28" s="52">
        <v>0</v>
      </c>
      <c r="P28" s="40"/>
      <c r="Q28" s="40"/>
      <c r="R28" s="40"/>
      <c r="S28" s="40"/>
      <c r="T28" s="48">
        <f t="shared" si="10"/>
        <v>3611.7676000000001</v>
      </c>
      <c r="U28" s="48">
        <f t="shared" si="11"/>
        <v>3611.7676000000001</v>
      </c>
    </row>
    <row r="29" spans="1:21" s="10" customFormat="1" x14ac:dyDescent="0.3">
      <c r="A29" s="22">
        <v>46</v>
      </c>
      <c r="B29" s="14" t="s">
        <v>120</v>
      </c>
      <c r="C29" s="113" t="s">
        <v>416</v>
      </c>
      <c r="D29" s="43">
        <v>15</v>
      </c>
      <c r="E29" s="67">
        <v>626.19000000000005</v>
      </c>
      <c r="F29" s="52">
        <f>D29*E29</f>
        <v>9392.85</v>
      </c>
      <c r="G29" s="52"/>
      <c r="H29" s="52"/>
      <c r="I29" s="52">
        <v>5081</v>
      </c>
      <c r="J29" s="48">
        <f>+F29-I29</f>
        <v>4311.8500000000004</v>
      </c>
      <c r="K29" s="53">
        <v>0.21360000000000001</v>
      </c>
      <c r="L29" s="52">
        <f>(F29-5081.01)*21.36%</f>
        <v>921.00902399999995</v>
      </c>
      <c r="M29" s="52">
        <v>538.20000000000005</v>
      </c>
      <c r="N29" s="52">
        <f>L29+M29</f>
        <v>1459.209024</v>
      </c>
      <c r="O29" s="52">
        <f>VLOOKUP($F$90,Tabsub,3)</f>
        <v>0</v>
      </c>
      <c r="P29" s="52"/>
      <c r="Q29" s="52"/>
      <c r="R29" s="52"/>
      <c r="S29" s="52"/>
      <c r="T29" s="48">
        <f>F29+G29+H29-N29+O29-P29-Q29-R29-S29</f>
        <v>7933.6409760000006</v>
      </c>
      <c r="U29" s="48">
        <f>T29-G29</f>
        <v>7933.6409760000006</v>
      </c>
    </row>
    <row r="30" spans="1:21" s="10" customFormat="1" x14ac:dyDescent="0.3">
      <c r="A30" s="24"/>
      <c r="B30" s="110"/>
      <c r="C30" s="19"/>
      <c r="D30" s="49"/>
      <c r="E30" s="50"/>
      <c r="F30" s="56">
        <f>SUM(F24:F29)</f>
        <v>56256.6</v>
      </c>
      <c r="G30" s="56">
        <f>SUM(G24:G29)</f>
        <v>0</v>
      </c>
      <c r="H30" s="56">
        <f t="shared" ref="H30:U30" si="12">SUM(H24:H29)</f>
        <v>0</v>
      </c>
      <c r="I30" s="56">
        <f t="shared" si="12"/>
        <v>35047.040000000001</v>
      </c>
      <c r="J30" s="56">
        <f t="shared" si="12"/>
        <v>21209.559999999998</v>
      </c>
      <c r="K30" s="56">
        <f t="shared" si="12"/>
        <v>1.1008</v>
      </c>
      <c r="L30" s="56">
        <f t="shared" si="12"/>
        <v>5126.1342719999993</v>
      </c>
      <c r="M30" s="56">
        <f t="shared" si="12"/>
        <v>4938.45</v>
      </c>
      <c r="N30" s="56">
        <f t="shared" si="12"/>
        <v>10066.783847999999</v>
      </c>
      <c r="O30" s="56">
        <f t="shared" si="12"/>
        <v>0</v>
      </c>
      <c r="P30" s="56">
        <f t="shared" si="12"/>
        <v>0</v>
      </c>
      <c r="Q30" s="56">
        <f t="shared" si="12"/>
        <v>0</v>
      </c>
      <c r="R30" s="56">
        <f t="shared" si="12"/>
        <v>0</v>
      </c>
      <c r="S30" s="56">
        <f t="shared" si="12"/>
        <v>0</v>
      </c>
      <c r="T30" s="56">
        <f t="shared" si="12"/>
        <v>46189.816151999999</v>
      </c>
      <c r="U30" s="56">
        <f t="shared" si="12"/>
        <v>46189.816151999999</v>
      </c>
    </row>
    <row r="31" spans="1:21" s="10" customFormat="1" x14ac:dyDescent="0.3">
      <c r="A31" s="24"/>
      <c r="B31" s="110"/>
      <c r="C31" s="19"/>
      <c r="D31" s="49"/>
      <c r="E31" s="50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s="10" customFormat="1" x14ac:dyDescent="0.3">
      <c r="A32" s="24"/>
      <c r="B32" s="110"/>
      <c r="C32" s="19"/>
      <c r="D32" s="49"/>
      <c r="E32" s="50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s="10" customFormat="1" ht="18" x14ac:dyDescent="0.3">
      <c r="A33" s="173" t="s">
        <v>246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1:21" s="10" customFormat="1" ht="33.75" customHeight="1" x14ac:dyDescent="0.3">
      <c r="A34" s="21" t="s">
        <v>69</v>
      </c>
      <c r="B34" s="21" t="s">
        <v>17</v>
      </c>
      <c r="C34" s="21" t="s">
        <v>84</v>
      </c>
      <c r="D34" s="21" t="s">
        <v>27</v>
      </c>
      <c r="E34" s="21" t="s">
        <v>19</v>
      </c>
      <c r="F34" s="21" t="s">
        <v>18</v>
      </c>
      <c r="G34" s="21" t="s">
        <v>66</v>
      </c>
      <c r="H34" s="21" t="s">
        <v>74</v>
      </c>
      <c r="I34" s="37" t="s">
        <v>188</v>
      </c>
      <c r="J34" s="37" t="s">
        <v>189</v>
      </c>
      <c r="K34" s="37" t="s">
        <v>190</v>
      </c>
      <c r="L34" s="37" t="s">
        <v>191</v>
      </c>
      <c r="M34" s="21" t="s">
        <v>192</v>
      </c>
      <c r="N34" s="21" t="s">
        <v>67</v>
      </c>
      <c r="O34" s="21" t="s">
        <v>68</v>
      </c>
      <c r="P34" s="21" t="s">
        <v>20</v>
      </c>
      <c r="Q34" s="21" t="s">
        <v>299</v>
      </c>
      <c r="R34" s="21" t="s">
        <v>72</v>
      </c>
      <c r="S34" s="21" t="s">
        <v>82</v>
      </c>
      <c r="T34" s="21" t="s">
        <v>80</v>
      </c>
      <c r="U34" s="21" t="s">
        <v>81</v>
      </c>
    </row>
    <row r="35" spans="1:21" s="10" customFormat="1" x14ac:dyDescent="0.3">
      <c r="A35" s="22">
        <v>18</v>
      </c>
      <c r="B35" s="14" t="s">
        <v>115</v>
      </c>
      <c r="C35" s="14" t="s">
        <v>124</v>
      </c>
      <c r="D35" s="22">
        <v>15</v>
      </c>
      <c r="E35" s="22">
        <v>943.95</v>
      </c>
      <c r="F35" s="133">
        <f>E35*D35</f>
        <v>14159.25</v>
      </c>
      <c r="G35" s="22"/>
      <c r="H35" s="22"/>
      <c r="I35" s="22">
        <v>5081.01</v>
      </c>
      <c r="J35" s="57">
        <f>F35-I35</f>
        <v>9078.24</v>
      </c>
      <c r="K35" s="53">
        <v>0.21360000000000001</v>
      </c>
      <c r="L35" s="52">
        <f>(F35-10248.01)*23.52%</f>
        <v>919.92364799999996</v>
      </c>
      <c r="M35" s="52">
        <v>1641.75</v>
      </c>
      <c r="N35" s="52">
        <f>M35+L35</f>
        <v>2561.673648</v>
      </c>
      <c r="O35" s="22"/>
      <c r="P35" s="22"/>
      <c r="Q35" s="22"/>
      <c r="R35" s="22"/>
      <c r="S35" s="22"/>
      <c r="T35" s="48">
        <f t="shared" ref="T35:T40" si="13">F35+G35+H35-N35+O35-P35-Q35-R35-S35</f>
        <v>11597.576352</v>
      </c>
      <c r="U35" s="48">
        <f t="shared" ref="U35:U40" si="14">T35-G35</f>
        <v>11597.576352</v>
      </c>
    </row>
    <row r="36" spans="1:21" s="10" customFormat="1" x14ac:dyDescent="0.3">
      <c r="A36" s="22">
        <v>19</v>
      </c>
      <c r="B36" s="14" t="s">
        <v>300</v>
      </c>
      <c r="C36" s="15" t="s">
        <v>98</v>
      </c>
      <c r="D36" s="22">
        <v>15</v>
      </c>
      <c r="E36" s="52">
        <v>312.25</v>
      </c>
      <c r="F36" s="134">
        <f>D36*E36</f>
        <v>4683.75</v>
      </c>
      <c r="G36" s="52"/>
      <c r="H36" s="52"/>
      <c r="I36" s="52">
        <f>VLOOKUP($F$367,Tabisr,1)</f>
        <v>5081.01</v>
      </c>
      <c r="J36" s="48">
        <f>+F36-I36</f>
        <v>-397.26000000000022</v>
      </c>
      <c r="K36" s="53">
        <f>VLOOKUP($F$367,Tabisr,4)</f>
        <v>0.21360000000000001</v>
      </c>
      <c r="L36" s="52">
        <f>(F36-4244.01)*17.92%</f>
        <v>78.801407999999967</v>
      </c>
      <c r="M36" s="52">
        <v>388.05</v>
      </c>
      <c r="N36" s="52">
        <f>M36+L36</f>
        <v>466.85140799999999</v>
      </c>
      <c r="O36" s="52">
        <f>VLOOKUP($F$48,Tabsub,3)</f>
        <v>0</v>
      </c>
      <c r="P36" s="52"/>
      <c r="Q36" s="52"/>
      <c r="R36" s="52"/>
      <c r="S36" s="52"/>
      <c r="T36" s="48">
        <f t="shared" si="13"/>
        <v>4216.8985919999996</v>
      </c>
      <c r="U36" s="48">
        <f t="shared" si="14"/>
        <v>4216.8985919999996</v>
      </c>
    </row>
    <row r="37" spans="1:21" s="10" customFormat="1" x14ac:dyDescent="0.3">
      <c r="A37" s="22">
        <v>20</v>
      </c>
      <c r="B37" s="14" t="s">
        <v>350</v>
      </c>
      <c r="C37" s="142" t="s">
        <v>414</v>
      </c>
      <c r="D37" s="22">
        <v>15</v>
      </c>
      <c r="E37" s="52">
        <v>312.25</v>
      </c>
      <c r="F37" s="134">
        <f>D37*E37</f>
        <v>4683.75</v>
      </c>
      <c r="G37" s="40"/>
      <c r="H37" s="40"/>
      <c r="I37" s="52">
        <f>VLOOKUP($F$62,Tabisr,1)</f>
        <v>3651.01</v>
      </c>
      <c r="J37" s="48">
        <f>+F37-I37</f>
        <v>1032.7399999999998</v>
      </c>
      <c r="K37" s="53">
        <f>VLOOKUP($F$62,Tabisr,4)</f>
        <v>0.16</v>
      </c>
      <c r="L37" s="52">
        <f>(F37-3651.01)*16%</f>
        <v>165.23839999999996</v>
      </c>
      <c r="M37" s="52">
        <v>293.25</v>
      </c>
      <c r="N37" s="52">
        <v>466.85</v>
      </c>
      <c r="O37" s="52"/>
      <c r="P37" s="40"/>
      <c r="Q37" s="40"/>
      <c r="R37" s="40"/>
      <c r="S37" s="40"/>
      <c r="T37" s="48">
        <f t="shared" si="13"/>
        <v>4216.8999999999996</v>
      </c>
      <c r="U37" s="48">
        <f t="shared" si="14"/>
        <v>4216.8999999999996</v>
      </c>
    </row>
    <row r="38" spans="1:21" s="10" customFormat="1" x14ac:dyDescent="0.3">
      <c r="A38" s="22">
        <v>21</v>
      </c>
      <c r="B38" s="14" t="s">
        <v>282</v>
      </c>
      <c r="C38" s="113" t="s">
        <v>413</v>
      </c>
      <c r="D38" s="22">
        <v>15</v>
      </c>
      <c r="E38" s="52">
        <v>263.55</v>
      </c>
      <c r="F38" s="134">
        <f>D38*E38</f>
        <v>3953.25</v>
      </c>
      <c r="G38" s="40"/>
      <c r="H38" s="40"/>
      <c r="I38" s="52">
        <f>VLOOKUP($F$62,Tabisr,1)</f>
        <v>3651.01</v>
      </c>
      <c r="J38" s="48">
        <f>+F38-I38</f>
        <v>302.23999999999978</v>
      </c>
      <c r="K38" s="53">
        <f>VLOOKUP($F$62,Tabisr,4)</f>
        <v>0.16</v>
      </c>
      <c r="L38" s="52">
        <f>(F38-3651.01)*16%</f>
        <v>48.358399999999968</v>
      </c>
      <c r="M38" s="52">
        <v>293.25</v>
      </c>
      <c r="N38" s="52">
        <f>M38+L38</f>
        <v>341.60839999999996</v>
      </c>
      <c r="O38" s="52"/>
      <c r="P38" s="40"/>
      <c r="Q38" s="40"/>
      <c r="R38" s="40"/>
      <c r="S38" s="40"/>
      <c r="T38" s="48">
        <f t="shared" si="13"/>
        <v>3611.6415999999999</v>
      </c>
      <c r="U38" s="48">
        <f t="shared" si="14"/>
        <v>3611.6415999999999</v>
      </c>
    </row>
    <row r="39" spans="1:21" s="12" customFormat="1" x14ac:dyDescent="0.3">
      <c r="A39" s="22">
        <v>22</v>
      </c>
      <c r="B39" s="14" t="s">
        <v>395</v>
      </c>
      <c r="C39" s="122" t="s">
        <v>92</v>
      </c>
      <c r="D39" s="22">
        <v>15</v>
      </c>
      <c r="E39" s="52">
        <v>263.55</v>
      </c>
      <c r="F39" s="134">
        <f>D39*E39</f>
        <v>3953.25</v>
      </c>
      <c r="G39" s="40"/>
      <c r="H39" s="40"/>
      <c r="I39" s="52">
        <f>VLOOKUP($F$28,Tabisr,1)</f>
        <v>3651.01</v>
      </c>
      <c r="J39" s="48">
        <f>+F39-I39</f>
        <v>302.23999999999978</v>
      </c>
      <c r="K39" s="53">
        <f>VLOOKUP($F$28,Tabisr,4)</f>
        <v>0.16</v>
      </c>
      <c r="L39" s="52">
        <f>(F39-3651.01)*16%</f>
        <v>48.358399999999968</v>
      </c>
      <c r="M39" s="52">
        <v>293.25</v>
      </c>
      <c r="N39" s="52">
        <f>L39+M39</f>
        <v>341.60839999999996</v>
      </c>
      <c r="O39" s="52">
        <v>0</v>
      </c>
      <c r="P39" s="40"/>
      <c r="Q39" s="40"/>
      <c r="R39" s="40"/>
      <c r="S39" s="40"/>
      <c r="T39" s="48">
        <f t="shared" si="13"/>
        <v>3611.6415999999999</v>
      </c>
      <c r="U39" s="48">
        <f t="shared" si="14"/>
        <v>3611.6415999999999</v>
      </c>
    </row>
    <row r="40" spans="1:21" s="12" customFormat="1" x14ac:dyDescent="0.3">
      <c r="A40" s="22">
        <v>23</v>
      </c>
      <c r="B40" s="14" t="s">
        <v>142</v>
      </c>
      <c r="C40" s="15" t="s">
        <v>358</v>
      </c>
      <c r="D40" s="22">
        <v>15</v>
      </c>
      <c r="E40" s="52">
        <v>312.25</v>
      </c>
      <c r="F40" s="134">
        <f>D40*E40</f>
        <v>4683.75</v>
      </c>
      <c r="G40" s="40"/>
      <c r="H40" s="40"/>
      <c r="I40" s="52">
        <f>VLOOKUP($F$62,Tabisr,1)</f>
        <v>3651.01</v>
      </c>
      <c r="J40" s="48">
        <f>+F40-I40</f>
        <v>1032.7399999999998</v>
      </c>
      <c r="K40" s="53">
        <f>VLOOKUP($F$62,Tabisr,4)</f>
        <v>0.16</v>
      </c>
      <c r="L40" s="52">
        <f>(F40-3651.01)*16%</f>
        <v>165.23839999999996</v>
      </c>
      <c r="M40" s="52">
        <v>293.25</v>
      </c>
      <c r="N40" s="52">
        <v>466.85</v>
      </c>
      <c r="O40" s="52"/>
      <c r="P40" s="40"/>
      <c r="Q40" s="40"/>
      <c r="R40" s="40"/>
      <c r="S40" s="40"/>
      <c r="T40" s="48">
        <f t="shared" si="13"/>
        <v>4216.8999999999996</v>
      </c>
      <c r="U40" s="48">
        <f t="shared" si="14"/>
        <v>4216.8999999999996</v>
      </c>
    </row>
    <row r="41" spans="1:21" s="10" customFormat="1" x14ac:dyDescent="0.3">
      <c r="A41" s="24"/>
      <c r="B41" s="110"/>
      <c r="C41" s="19"/>
      <c r="D41" s="49"/>
      <c r="E41" s="50"/>
      <c r="F41" s="135">
        <f>SUM(F35:F40)</f>
        <v>36117</v>
      </c>
      <c r="G41" s="56">
        <f>SUM(G35:G40)</f>
        <v>0</v>
      </c>
      <c r="H41" s="56">
        <f t="shared" ref="H41:M41" si="15">SUM(H35:H40)</f>
        <v>0</v>
      </c>
      <c r="I41" s="56">
        <f t="shared" si="15"/>
        <v>24766.060000000005</v>
      </c>
      <c r="J41" s="56">
        <f t="shared" si="15"/>
        <v>11350.939999999999</v>
      </c>
      <c r="K41" s="56">
        <f t="shared" si="15"/>
        <v>1.0672000000000001</v>
      </c>
      <c r="L41" s="56">
        <f t="shared" si="15"/>
        <v>1425.9186560000001</v>
      </c>
      <c r="M41" s="56">
        <f t="shared" si="15"/>
        <v>3202.8</v>
      </c>
      <c r="N41" s="56">
        <f t="shared" ref="N41:U41" si="16">SUM(N35:N40)</f>
        <v>4645.4418560000004</v>
      </c>
      <c r="O41" s="56">
        <f t="shared" si="16"/>
        <v>0</v>
      </c>
      <c r="P41" s="56">
        <f t="shared" si="16"/>
        <v>0</v>
      </c>
      <c r="Q41" s="56">
        <f t="shared" si="16"/>
        <v>0</v>
      </c>
      <c r="R41" s="56">
        <f t="shared" si="16"/>
        <v>0</v>
      </c>
      <c r="S41" s="56">
        <f t="shared" si="16"/>
        <v>0</v>
      </c>
      <c r="T41" s="56">
        <f t="shared" si="16"/>
        <v>31471.558143999995</v>
      </c>
      <c r="U41" s="56">
        <f t="shared" si="16"/>
        <v>31471.558143999995</v>
      </c>
    </row>
    <row r="42" spans="1:21" s="10" customFormat="1" x14ac:dyDescent="0.3">
      <c r="A42" s="24"/>
      <c r="B42" s="110"/>
      <c r="C42" s="19"/>
      <c r="D42" s="49"/>
      <c r="E42" s="50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s="10" customFormat="1" x14ac:dyDescent="0.3">
      <c r="A43" s="24"/>
      <c r="B43" s="110"/>
      <c r="C43" s="19"/>
      <c r="D43" s="49"/>
      <c r="E43" s="50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s="10" customFormat="1" ht="18" x14ac:dyDescent="0.3">
      <c r="A44" s="173" t="s">
        <v>247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1:21" s="10" customFormat="1" ht="34.5" customHeight="1" x14ac:dyDescent="0.3">
      <c r="A45" s="21" t="s">
        <v>69</v>
      </c>
      <c r="B45" s="21" t="s">
        <v>17</v>
      </c>
      <c r="C45" s="21" t="s">
        <v>84</v>
      </c>
      <c r="D45" s="21" t="s">
        <v>27</v>
      </c>
      <c r="E45" s="21" t="s">
        <v>19</v>
      </c>
      <c r="F45" s="21" t="s">
        <v>18</v>
      </c>
      <c r="G45" s="21" t="s">
        <v>66</v>
      </c>
      <c r="H45" s="21" t="s">
        <v>74</v>
      </c>
      <c r="I45" s="37" t="s">
        <v>188</v>
      </c>
      <c r="J45" s="37" t="s">
        <v>189</v>
      </c>
      <c r="K45" s="37" t="s">
        <v>190</v>
      </c>
      <c r="L45" s="37" t="s">
        <v>191</v>
      </c>
      <c r="M45" s="21" t="s">
        <v>192</v>
      </c>
      <c r="N45" s="21" t="s">
        <v>67</v>
      </c>
      <c r="O45" s="21" t="s">
        <v>68</v>
      </c>
      <c r="P45" s="21" t="s">
        <v>20</v>
      </c>
      <c r="Q45" s="21" t="s">
        <v>299</v>
      </c>
      <c r="R45" s="21" t="s">
        <v>72</v>
      </c>
      <c r="S45" s="21" t="s">
        <v>82</v>
      </c>
      <c r="T45" s="21" t="s">
        <v>80</v>
      </c>
      <c r="U45" s="21" t="s">
        <v>81</v>
      </c>
    </row>
    <row r="46" spans="1:21" s="10" customFormat="1" x14ac:dyDescent="0.3">
      <c r="A46" s="22">
        <v>242</v>
      </c>
      <c r="B46" s="14" t="s">
        <v>418</v>
      </c>
      <c r="C46" s="15" t="s">
        <v>90</v>
      </c>
      <c r="D46" s="43">
        <v>15</v>
      </c>
      <c r="E46" s="52">
        <v>943.95</v>
      </c>
      <c r="F46" s="52">
        <f>D46*E46</f>
        <v>14159.25</v>
      </c>
      <c r="G46" s="52"/>
      <c r="H46" s="63"/>
      <c r="I46" s="52">
        <v>5081.01</v>
      </c>
      <c r="J46" s="48">
        <f>F46-I46</f>
        <v>9078.24</v>
      </c>
      <c r="K46" s="53">
        <v>0.21360000000000001</v>
      </c>
      <c r="L46" s="52">
        <f>(F46-10248.01)*23.52%</f>
        <v>919.92364799999996</v>
      </c>
      <c r="M46" s="52">
        <v>1641.75</v>
      </c>
      <c r="N46" s="52">
        <f>M46+L46</f>
        <v>2561.673648</v>
      </c>
      <c r="O46" s="52">
        <f>VLOOKUP($F$167,Tabsub,3)</f>
        <v>0</v>
      </c>
      <c r="P46" s="22"/>
      <c r="Q46" s="22"/>
      <c r="R46" s="52"/>
      <c r="S46" s="52"/>
      <c r="T46" s="48">
        <f>F46+G46+H46-N46+O46-P46-Q46-R46-S46</f>
        <v>11597.576352</v>
      </c>
      <c r="U46" s="48">
        <f>T46-G46</f>
        <v>11597.576352</v>
      </c>
    </row>
    <row r="47" spans="1:21" s="10" customFormat="1" x14ac:dyDescent="0.3">
      <c r="A47" s="22">
        <v>25</v>
      </c>
      <c r="B47" s="14" t="s">
        <v>322</v>
      </c>
      <c r="C47" s="15" t="s">
        <v>323</v>
      </c>
      <c r="D47" s="43">
        <v>15</v>
      </c>
      <c r="E47" s="52">
        <v>661.33</v>
      </c>
      <c r="F47" s="52">
        <f>D47*E47</f>
        <v>9919.9500000000007</v>
      </c>
      <c r="G47" s="52"/>
      <c r="H47" s="63"/>
      <c r="I47" s="52">
        <v>5081</v>
      </c>
      <c r="J47" s="48">
        <f>+F47-I47</f>
        <v>4838.9500000000007</v>
      </c>
      <c r="K47" s="53">
        <v>0.21360000000000001</v>
      </c>
      <c r="L47" s="52">
        <f>(F47-5081.01)*21.36%</f>
        <v>1033.5975840000001</v>
      </c>
      <c r="M47" s="52">
        <v>538.20000000000005</v>
      </c>
      <c r="N47" s="133">
        <f>L47+M47</f>
        <v>1571.7975840000001</v>
      </c>
      <c r="O47" s="52"/>
      <c r="P47" s="52"/>
      <c r="Q47" s="52"/>
      <c r="R47" s="52"/>
      <c r="S47" s="52"/>
      <c r="T47" s="48">
        <f>F47+G47+H47-N47+O47-P47-R47-S47</f>
        <v>8348.1524160000008</v>
      </c>
      <c r="U47" s="48">
        <f>T47-G47</f>
        <v>8348.1524160000008</v>
      </c>
    </row>
    <row r="48" spans="1:21" s="10" customFormat="1" x14ac:dyDescent="0.3">
      <c r="A48" s="22">
        <v>26</v>
      </c>
      <c r="B48" s="105" t="s">
        <v>137</v>
      </c>
      <c r="C48" s="105" t="s">
        <v>226</v>
      </c>
      <c r="D48" s="43">
        <v>15</v>
      </c>
      <c r="E48" s="40">
        <v>414.83</v>
      </c>
      <c r="F48" s="41">
        <f>D48*E48</f>
        <v>6222.45</v>
      </c>
      <c r="G48" s="40"/>
      <c r="H48" s="40"/>
      <c r="I48" s="40">
        <f>VLOOKUP($F$209,Tabisr,1)</f>
        <v>5081.01</v>
      </c>
      <c r="J48" s="41">
        <f>+F48-I48</f>
        <v>1141.4399999999996</v>
      </c>
      <c r="K48" s="42">
        <f>VLOOKUP($F$209,Tabisr,4)</f>
        <v>0.21360000000000001</v>
      </c>
      <c r="L48" s="40">
        <f>+J48*K48</f>
        <v>243.81158399999993</v>
      </c>
      <c r="M48" s="40">
        <f>VLOOKUP($F$209,Tabisr,3)</f>
        <v>538.20000000000005</v>
      </c>
      <c r="N48" s="40">
        <f>+L48+M48</f>
        <v>782.01158399999997</v>
      </c>
      <c r="O48" s="40">
        <f>VLOOKUP($F$367,Tabsub,3)</f>
        <v>0</v>
      </c>
      <c r="P48" s="40"/>
      <c r="Q48" s="40"/>
      <c r="R48" s="40"/>
      <c r="S48" s="40"/>
      <c r="T48" s="41">
        <f>F48+G48+H48-N48+O48-P48-R48-S48</f>
        <v>5440.438416</v>
      </c>
      <c r="U48" s="41">
        <f>T48-G48</f>
        <v>5440.438416</v>
      </c>
    </row>
    <row r="49" spans="1:21" s="10" customFormat="1" x14ac:dyDescent="0.3">
      <c r="A49" s="22">
        <v>28</v>
      </c>
      <c r="B49" s="128" t="s">
        <v>388</v>
      </c>
      <c r="C49" s="108" t="s">
        <v>86</v>
      </c>
      <c r="D49" s="43">
        <v>15</v>
      </c>
      <c r="E49" s="52">
        <v>263.56</v>
      </c>
      <c r="F49" s="52">
        <f>D49*E49</f>
        <v>3953.4</v>
      </c>
      <c r="G49" s="52"/>
      <c r="H49" s="52"/>
      <c r="I49" s="52">
        <v>4244.01</v>
      </c>
      <c r="J49" s="48">
        <f>+F49-I49</f>
        <v>-290.61000000000013</v>
      </c>
      <c r="K49" s="53">
        <v>0.1792</v>
      </c>
      <c r="L49" s="52">
        <f>(F49-3651.01)*16%</f>
        <v>48.382399999999983</v>
      </c>
      <c r="M49" s="52">
        <v>293.25</v>
      </c>
      <c r="N49" s="52">
        <f>M49+L49</f>
        <v>341.63239999999996</v>
      </c>
      <c r="O49" s="52"/>
      <c r="P49" s="52"/>
      <c r="Q49" s="52"/>
      <c r="R49" s="52"/>
      <c r="S49" s="52"/>
      <c r="T49" s="48">
        <f>F49+G49+H49-N49+O49-P49-R49-S49</f>
        <v>3611.7676000000001</v>
      </c>
      <c r="U49" s="48">
        <f>T49-G49</f>
        <v>3611.7676000000001</v>
      </c>
    </row>
    <row r="50" spans="1:21" s="10" customFormat="1" x14ac:dyDescent="0.3">
      <c r="A50" s="24"/>
      <c r="B50" s="114"/>
      <c r="C50" s="115"/>
      <c r="D50" s="64"/>
      <c r="E50" s="64"/>
      <c r="F50" s="65">
        <f>SUM(F46:F49)</f>
        <v>34255.050000000003</v>
      </c>
      <c r="G50" s="132">
        <f t="shared" ref="G50:U50" si="17">SUM(G46:G49)</f>
        <v>0</v>
      </c>
      <c r="H50" s="132">
        <f t="shared" si="17"/>
        <v>0</v>
      </c>
      <c r="I50" s="132">
        <f t="shared" si="17"/>
        <v>19487.03</v>
      </c>
      <c r="J50" s="132">
        <f t="shared" si="17"/>
        <v>14768.02</v>
      </c>
      <c r="K50" s="132">
        <f t="shared" si="17"/>
        <v>0.82000000000000006</v>
      </c>
      <c r="L50" s="132">
        <f t="shared" si="17"/>
        <v>2245.7152160000001</v>
      </c>
      <c r="M50" s="132">
        <f t="shared" si="17"/>
        <v>3011.3999999999996</v>
      </c>
      <c r="N50" s="132">
        <f t="shared" si="17"/>
        <v>5257.1152160000001</v>
      </c>
      <c r="O50" s="132">
        <f t="shared" si="17"/>
        <v>0</v>
      </c>
      <c r="P50" s="132">
        <f t="shared" si="17"/>
        <v>0</v>
      </c>
      <c r="Q50" s="132">
        <f t="shared" si="17"/>
        <v>0</v>
      </c>
      <c r="R50" s="132">
        <f t="shared" si="17"/>
        <v>0</v>
      </c>
      <c r="S50" s="132">
        <f t="shared" si="17"/>
        <v>0</v>
      </c>
      <c r="T50" s="132">
        <f t="shared" si="17"/>
        <v>28997.934784000001</v>
      </c>
      <c r="U50" s="132">
        <f t="shared" si="17"/>
        <v>28997.934784000001</v>
      </c>
    </row>
    <row r="51" spans="1:21" s="10" customFormat="1" x14ac:dyDescent="0.3">
      <c r="A51" s="24"/>
      <c r="B51" s="114"/>
      <c r="C51" s="115"/>
      <c r="D51" s="64"/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s="10" customFormat="1" ht="18" x14ac:dyDescent="0.3">
      <c r="A52" s="173" t="s">
        <v>248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1:21" s="10" customFormat="1" ht="32.25" customHeight="1" x14ac:dyDescent="0.3">
      <c r="A53" s="21" t="s">
        <v>69</v>
      </c>
      <c r="B53" s="21" t="s">
        <v>17</v>
      </c>
      <c r="C53" s="21" t="s">
        <v>84</v>
      </c>
      <c r="D53" s="21" t="s">
        <v>27</v>
      </c>
      <c r="E53" s="21" t="s">
        <v>19</v>
      </c>
      <c r="F53" s="21" t="s">
        <v>18</v>
      </c>
      <c r="G53" s="21" t="s">
        <v>66</v>
      </c>
      <c r="H53" s="21" t="s">
        <v>74</v>
      </c>
      <c r="I53" s="37" t="s">
        <v>188</v>
      </c>
      <c r="J53" s="37" t="s">
        <v>189</v>
      </c>
      <c r="K53" s="37" t="s">
        <v>190</v>
      </c>
      <c r="L53" s="37" t="s">
        <v>191</v>
      </c>
      <c r="M53" s="21" t="s">
        <v>192</v>
      </c>
      <c r="N53" s="21" t="s">
        <v>67</v>
      </c>
      <c r="O53" s="21" t="s">
        <v>68</v>
      </c>
      <c r="P53" s="21" t="s">
        <v>20</v>
      </c>
      <c r="Q53" s="21" t="s">
        <v>299</v>
      </c>
      <c r="R53" s="21" t="s">
        <v>72</v>
      </c>
      <c r="S53" s="21" t="s">
        <v>82</v>
      </c>
      <c r="T53" s="21" t="s">
        <v>80</v>
      </c>
      <c r="U53" s="21" t="s">
        <v>81</v>
      </c>
    </row>
    <row r="54" spans="1:21" s="10" customFormat="1" x14ac:dyDescent="0.3">
      <c r="A54" s="22">
        <v>29</v>
      </c>
      <c r="B54" s="14" t="s">
        <v>7</v>
      </c>
      <c r="C54" s="15" t="s">
        <v>146</v>
      </c>
      <c r="D54" s="43">
        <v>15</v>
      </c>
      <c r="E54" s="52">
        <v>745.53</v>
      </c>
      <c r="F54" s="52">
        <f>D54*E54</f>
        <v>11182.949999999999</v>
      </c>
      <c r="G54" s="40"/>
      <c r="H54" s="40"/>
      <c r="I54" s="52">
        <f>VLOOKUP($F$8,Tabisr,1)</f>
        <v>10248.01</v>
      </c>
      <c r="J54" s="48">
        <f>+F54-I54</f>
        <v>934.93999999999869</v>
      </c>
      <c r="K54" s="53">
        <f>VLOOKUP($F$8,Tabisr,4)</f>
        <v>0.23519999999999999</v>
      </c>
      <c r="L54" s="52">
        <f>(F54-10248.01)*23.52%</f>
        <v>219.89788799999968</v>
      </c>
      <c r="M54" s="52">
        <v>1641.75</v>
      </c>
      <c r="N54" s="52">
        <f>M54+L54</f>
        <v>1861.6478879999997</v>
      </c>
      <c r="O54" s="52"/>
      <c r="P54" s="40"/>
      <c r="Q54" s="40"/>
      <c r="R54" s="40"/>
      <c r="S54" s="40"/>
      <c r="T54" s="48">
        <f>F54+G54+H54-N54+O54-P54-Q54-R54-S54</f>
        <v>9321.3021119999994</v>
      </c>
      <c r="U54" s="48">
        <f>T54-G54</f>
        <v>9321.3021119999994</v>
      </c>
    </row>
    <row r="55" spans="1:21" s="10" customFormat="1" x14ac:dyDescent="0.3">
      <c r="A55" s="22">
        <v>30</v>
      </c>
      <c r="B55" s="14" t="s">
        <v>117</v>
      </c>
      <c r="C55" s="14" t="s">
        <v>98</v>
      </c>
      <c r="D55" s="43">
        <v>15</v>
      </c>
      <c r="E55" s="52">
        <v>312.26</v>
      </c>
      <c r="F55" s="52">
        <f>D55*E55</f>
        <v>4683.8999999999996</v>
      </c>
      <c r="G55" s="40"/>
      <c r="H55" s="40"/>
      <c r="I55" s="52">
        <f>VLOOKUP($F$367,Tabisr,1)</f>
        <v>5081.01</v>
      </c>
      <c r="J55" s="48">
        <f>+F55-I55</f>
        <v>-397.11000000000058</v>
      </c>
      <c r="K55" s="53">
        <f>VLOOKUP($F$367,Tabisr,4)</f>
        <v>0.21360000000000001</v>
      </c>
      <c r="L55" s="52">
        <f>(F55-4244.01)*17.92%</f>
        <v>78.828287999999901</v>
      </c>
      <c r="M55" s="52">
        <v>388.05</v>
      </c>
      <c r="N55" s="52">
        <f>M55+L55</f>
        <v>466.87828799999988</v>
      </c>
      <c r="O55" s="52">
        <f>VLOOKUP($F$367,Tabsub,3)</f>
        <v>0</v>
      </c>
      <c r="P55" s="40"/>
      <c r="Q55" s="40"/>
      <c r="R55" s="40"/>
      <c r="S55" s="40"/>
      <c r="T55" s="48">
        <f>F55+G55+H55-N55+O55-P55-R55-S55</f>
        <v>4217.0217119999998</v>
      </c>
      <c r="U55" s="48">
        <f>T55-G55</f>
        <v>4217.0217119999998</v>
      </c>
    </row>
    <row r="56" spans="1:21" s="10" customFormat="1" x14ac:dyDescent="0.3">
      <c r="A56" s="28"/>
      <c r="B56" s="111" t="s">
        <v>392</v>
      </c>
      <c r="C56" s="17" t="s">
        <v>89</v>
      </c>
      <c r="D56" s="58"/>
      <c r="E56" s="59"/>
      <c r="F56" s="59"/>
      <c r="G56" s="59"/>
      <c r="H56" s="28"/>
      <c r="I56" s="59"/>
      <c r="J56" s="61"/>
      <c r="K56" s="62"/>
      <c r="L56" s="59"/>
      <c r="M56" s="59"/>
      <c r="N56" s="59"/>
      <c r="O56" s="59"/>
      <c r="P56" s="59"/>
      <c r="Q56" s="59"/>
      <c r="R56" s="59"/>
      <c r="S56" s="59"/>
      <c r="T56" s="61"/>
      <c r="U56" s="61"/>
    </row>
    <row r="57" spans="1:21" s="10" customFormat="1" x14ac:dyDescent="0.3">
      <c r="A57" s="24"/>
      <c r="B57" s="110"/>
      <c r="C57" s="19"/>
      <c r="D57" s="49"/>
      <c r="E57" s="50"/>
      <c r="F57" s="56">
        <f>+SUM(F54:F56)</f>
        <v>15866.849999999999</v>
      </c>
      <c r="G57" s="56">
        <f t="shared" ref="G57:M57" si="18">+SUM(G54:G56)</f>
        <v>0</v>
      </c>
      <c r="H57" s="56">
        <f t="shared" si="18"/>
        <v>0</v>
      </c>
      <c r="I57" s="56">
        <f t="shared" si="18"/>
        <v>15329.02</v>
      </c>
      <c r="J57" s="56">
        <f t="shared" si="18"/>
        <v>537.82999999999811</v>
      </c>
      <c r="K57" s="56">
        <f t="shared" si="18"/>
        <v>0.44879999999999998</v>
      </c>
      <c r="L57" s="56">
        <f t="shared" si="18"/>
        <v>298.72617599999955</v>
      </c>
      <c r="M57" s="56">
        <f t="shared" si="18"/>
        <v>2029.8</v>
      </c>
      <c r="N57" s="56">
        <f t="shared" ref="N57:U57" si="19">+SUM(N54:N56)</f>
        <v>2328.5261759999994</v>
      </c>
      <c r="O57" s="56">
        <f t="shared" si="19"/>
        <v>0</v>
      </c>
      <c r="P57" s="56">
        <f t="shared" si="19"/>
        <v>0</v>
      </c>
      <c r="Q57" s="56">
        <f t="shared" si="19"/>
        <v>0</v>
      </c>
      <c r="R57" s="56">
        <f t="shared" si="19"/>
        <v>0</v>
      </c>
      <c r="S57" s="56">
        <f t="shared" si="19"/>
        <v>0</v>
      </c>
      <c r="T57" s="56">
        <f t="shared" si="19"/>
        <v>13538.323823999999</v>
      </c>
      <c r="U57" s="56">
        <f t="shared" si="19"/>
        <v>13538.323823999999</v>
      </c>
    </row>
    <row r="58" spans="1:21" s="10" customFormat="1" x14ac:dyDescent="0.3">
      <c r="A58" s="24"/>
      <c r="B58" s="114"/>
      <c r="C58" s="11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s="10" customFormat="1" ht="18" x14ac:dyDescent="0.3">
      <c r="A59" s="173" t="s">
        <v>249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1:21" s="10" customFormat="1" ht="32.25" customHeight="1" x14ac:dyDescent="0.3">
      <c r="A60" s="21" t="s">
        <v>69</v>
      </c>
      <c r="B60" s="21" t="s">
        <v>17</v>
      </c>
      <c r="C60" s="21" t="s">
        <v>84</v>
      </c>
      <c r="D60" s="21" t="s">
        <v>27</v>
      </c>
      <c r="E60" s="21" t="s">
        <v>19</v>
      </c>
      <c r="F60" s="21" t="s">
        <v>18</v>
      </c>
      <c r="G60" s="21" t="s">
        <v>66</v>
      </c>
      <c r="H60" s="21" t="s">
        <v>74</v>
      </c>
      <c r="I60" s="37" t="s">
        <v>188</v>
      </c>
      <c r="J60" s="37" t="s">
        <v>189</v>
      </c>
      <c r="K60" s="37" t="s">
        <v>190</v>
      </c>
      <c r="L60" s="37" t="s">
        <v>191</v>
      </c>
      <c r="M60" s="21" t="s">
        <v>192</v>
      </c>
      <c r="N60" s="21" t="s">
        <v>67</v>
      </c>
      <c r="O60" s="21" t="s">
        <v>68</v>
      </c>
      <c r="P60" s="21" t="s">
        <v>20</v>
      </c>
      <c r="Q60" s="21" t="s">
        <v>299</v>
      </c>
      <c r="R60" s="21" t="s">
        <v>72</v>
      </c>
      <c r="S60" s="21" t="s">
        <v>82</v>
      </c>
      <c r="T60" s="21" t="s">
        <v>80</v>
      </c>
      <c r="U60" s="21" t="s">
        <v>81</v>
      </c>
    </row>
    <row r="61" spans="1:21" s="10" customFormat="1" ht="19.2" x14ac:dyDescent="0.3">
      <c r="A61" s="22">
        <v>32</v>
      </c>
      <c r="B61" s="14" t="s">
        <v>130</v>
      </c>
      <c r="C61" s="113" t="s">
        <v>154</v>
      </c>
      <c r="D61" s="43">
        <v>15</v>
      </c>
      <c r="E61" s="52">
        <v>943.95</v>
      </c>
      <c r="F61" s="52">
        <f t="shared" ref="F61:F67" si="20">D61*E61</f>
        <v>14159.25</v>
      </c>
      <c r="G61" s="52"/>
      <c r="H61" s="52"/>
      <c r="I61" s="52">
        <v>5081.01</v>
      </c>
      <c r="J61" s="48">
        <f>F61-I61</f>
        <v>9078.24</v>
      </c>
      <c r="K61" s="53">
        <v>0.21360000000000001</v>
      </c>
      <c r="L61" s="52">
        <f>(F61-10248.01)*23.52%</f>
        <v>919.92364799999996</v>
      </c>
      <c r="M61" s="52">
        <v>1641.75</v>
      </c>
      <c r="N61" s="52">
        <f>M61+L61</f>
        <v>2561.673648</v>
      </c>
      <c r="O61" s="52">
        <f>VLOOKUP($F$61,Tabsub,3)</f>
        <v>0</v>
      </c>
      <c r="P61" s="52"/>
      <c r="Q61" s="52"/>
      <c r="R61" s="52"/>
      <c r="S61" s="52"/>
      <c r="T61" s="48">
        <f>F61+G61+H61-N61+O61-P61-Q61-R61-S61</f>
        <v>11597.576352</v>
      </c>
      <c r="U61" s="48">
        <f t="shared" ref="U61:U72" si="21">T61-G61</f>
        <v>11597.576352</v>
      </c>
    </row>
    <row r="62" spans="1:21" s="10" customFormat="1" x14ac:dyDescent="0.3">
      <c r="A62" s="22">
        <v>33</v>
      </c>
      <c r="B62" s="14" t="s">
        <v>274</v>
      </c>
      <c r="C62" s="15" t="s">
        <v>86</v>
      </c>
      <c r="D62" s="43">
        <v>15</v>
      </c>
      <c r="E62" s="52">
        <v>263.56</v>
      </c>
      <c r="F62" s="52">
        <f t="shared" si="20"/>
        <v>3953.4</v>
      </c>
      <c r="G62" s="40"/>
      <c r="H62" s="40"/>
      <c r="I62" s="52">
        <v>3651.01</v>
      </c>
      <c r="J62" s="48">
        <f>+F62-I62</f>
        <v>302.38999999999987</v>
      </c>
      <c r="K62" s="53">
        <v>0.16</v>
      </c>
      <c r="L62" s="52">
        <f>(F62-3651.01)*16%</f>
        <v>48.382399999999983</v>
      </c>
      <c r="M62" s="52">
        <v>293.25</v>
      </c>
      <c r="N62" s="52">
        <f>M62+L62</f>
        <v>341.63239999999996</v>
      </c>
      <c r="O62" s="52"/>
      <c r="P62" s="52"/>
      <c r="Q62" s="52"/>
      <c r="R62" s="52"/>
      <c r="S62" s="52"/>
      <c r="T62" s="48">
        <f>F62+G62+H62-N62+O62-P62-Q62-R62-S62</f>
        <v>3611.7676000000001</v>
      </c>
      <c r="U62" s="48">
        <f t="shared" si="21"/>
        <v>3611.7676000000001</v>
      </c>
    </row>
    <row r="63" spans="1:21" s="10" customFormat="1" x14ac:dyDescent="0.3">
      <c r="A63" s="22">
        <v>34</v>
      </c>
      <c r="B63" s="14" t="s">
        <v>131</v>
      </c>
      <c r="C63" s="14" t="s">
        <v>132</v>
      </c>
      <c r="D63" s="43">
        <v>15</v>
      </c>
      <c r="E63" s="52">
        <v>414.83</v>
      </c>
      <c r="F63" s="52">
        <f t="shared" si="20"/>
        <v>6222.45</v>
      </c>
      <c r="G63" s="52"/>
      <c r="H63" s="52"/>
      <c r="I63" s="52">
        <f>VLOOKUP($F$209,Tabisr,1)</f>
        <v>5081.01</v>
      </c>
      <c r="J63" s="48">
        <f>+F63-I63</f>
        <v>1141.4399999999996</v>
      </c>
      <c r="K63" s="53">
        <f>VLOOKUP($F$209,Tabisr,4)</f>
        <v>0.21360000000000001</v>
      </c>
      <c r="L63" s="52">
        <f>+J63*K63</f>
        <v>243.81158399999993</v>
      </c>
      <c r="M63" s="52">
        <f>VLOOKUP($F$209,Tabisr,3)</f>
        <v>538.20000000000005</v>
      </c>
      <c r="N63" s="52">
        <f>+L63+M63</f>
        <v>782.01158399999997</v>
      </c>
      <c r="O63" s="52">
        <f>VLOOKUP($F$367,Tabsub,3)</f>
        <v>0</v>
      </c>
      <c r="P63" s="52"/>
      <c r="Q63" s="52"/>
      <c r="R63" s="52"/>
      <c r="S63" s="52"/>
      <c r="T63" s="48">
        <f>F63+G63+H63-N63+O63-P63-Q63-R63-S63</f>
        <v>5440.438416</v>
      </c>
      <c r="U63" s="48">
        <f t="shared" si="21"/>
        <v>5440.438416</v>
      </c>
    </row>
    <row r="64" spans="1:21" s="10" customFormat="1" x14ac:dyDescent="0.3">
      <c r="A64" s="22">
        <v>35</v>
      </c>
      <c r="B64" s="14" t="s">
        <v>218</v>
      </c>
      <c r="C64" s="14" t="s">
        <v>302</v>
      </c>
      <c r="D64" s="43">
        <v>15</v>
      </c>
      <c r="E64" s="40">
        <v>414.83</v>
      </c>
      <c r="F64" s="41">
        <f t="shared" si="20"/>
        <v>6222.45</v>
      </c>
      <c r="G64" s="40"/>
      <c r="H64" s="40"/>
      <c r="I64" s="40">
        <f>VLOOKUP($F$209,Tabisr,1)</f>
        <v>5081.01</v>
      </c>
      <c r="J64" s="41">
        <f>+F64-I64</f>
        <v>1141.4399999999996</v>
      </c>
      <c r="K64" s="42">
        <f>VLOOKUP($F$209,Tabisr,4)</f>
        <v>0.21360000000000001</v>
      </c>
      <c r="L64" s="40">
        <f>+J64*K64</f>
        <v>243.81158399999993</v>
      </c>
      <c r="M64" s="40">
        <f>VLOOKUP($F$209,Tabisr,3)</f>
        <v>538.20000000000005</v>
      </c>
      <c r="N64" s="40">
        <f>+L64+M64</f>
        <v>782.01158399999997</v>
      </c>
      <c r="O64" s="40">
        <f>VLOOKUP($F$367,Tabsub,3)</f>
        <v>0</v>
      </c>
      <c r="P64" s="40"/>
      <c r="Q64" s="40"/>
      <c r="R64" s="40"/>
      <c r="S64" s="40"/>
      <c r="T64" s="48">
        <f>F64+G64+H64-N64+O64-P64-Q64-R64-S64</f>
        <v>5440.438416</v>
      </c>
      <c r="U64" s="41">
        <f t="shared" si="21"/>
        <v>5440.438416</v>
      </c>
    </row>
    <row r="65" spans="1:21" s="10" customFormat="1" x14ac:dyDescent="0.3">
      <c r="A65" s="23">
        <v>31</v>
      </c>
      <c r="B65" s="14" t="s">
        <v>32</v>
      </c>
      <c r="C65" s="109" t="s">
        <v>412</v>
      </c>
      <c r="D65" s="43">
        <v>15</v>
      </c>
      <c r="E65" s="44">
        <v>312.26</v>
      </c>
      <c r="F65" s="44">
        <f t="shared" si="20"/>
        <v>4683.8999999999996</v>
      </c>
      <c r="G65" s="44"/>
      <c r="H65" s="23"/>
      <c r="I65" s="44">
        <f>VLOOKUP($F$69,Tabisr,1)</f>
        <v>5081.01</v>
      </c>
      <c r="J65" s="46">
        <f t="shared" ref="J65" si="22">+F65-I65</f>
        <v>-397.11000000000058</v>
      </c>
      <c r="K65" s="47">
        <f>VLOOKUP($F$69,Tabisr,4)</f>
        <v>0.21360000000000001</v>
      </c>
      <c r="L65" s="44">
        <f>(F65-4244.01)*17.92%</f>
        <v>78.828287999999901</v>
      </c>
      <c r="M65" s="44">
        <v>388.05</v>
      </c>
      <c r="N65" s="44">
        <f>M65+L65</f>
        <v>466.87828799999988</v>
      </c>
      <c r="O65" s="44">
        <f>VLOOKUP($F$69,Tabsub,3)</f>
        <v>0</v>
      </c>
      <c r="P65" s="44"/>
      <c r="Q65" s="44"/>
      <c r="R65" s="44"/>
      <c r="S65" s="44"/>
      <c r="T65" s="46">
        <f t="shared" ref="T65" si="23">F65+G65+H65-N65+O65-P65-Q65-R65-S65</f>
        <v>4217.0217119999998</v>
      </c>
      <c r="U65" s="46">
        <f t="shared" ref="U65" si="24">T65-G65</f>
        <v>4217.0217119999998</v>
      </c>
    </row>
    <row r="66" spans="1:21" s="10" customFormat="1" x14ac:dyDescent="0.3">
      <c r="A66" s="22">
        <v>36</v>
      </c>
      <c r="B66" s="14" t="s">
        <v>340</v>
      </c>
      <c r="C66" s="14" t="s">
        <v>341</v>
      </c>
      <c r="D66" s="43">
        <v>15</v>
      </c>
      <c r="E66" s="52">
        <v>626.19000000000005</v>
      </c>
      <c r="F66" s="52">
        <f t="shared" si="20"/>
        <v>9392.85</v>
      </c>
      <c r="G66" s="52"/>
      <c r="H66" s="63"/>
      <c r="I66" s="52">
        <v>5081</v>
      </c>
      <c r="J66" s="48">
        <f>+F66-I66</f>
        <v>4311.8500000000004</v>
      </c>
      <c r="K66" s="53">
        <v>0.21360000000000001</v>
      </c>
      <c r="L66" s="52">
        <f>(F66-5081.01)*21.36%</f>
        <v>921.00902399999995</v>
      </c>
      <c r="M66" s="52">
        <v>538.20000000000005</v>
      </c>
      <c r="N66" s="103">
        <f>L66+M66</f>
        <v>1459.209024</v>
      </c>
      <c r="O66" s="52"/>
      <c r="P66" s="52"/>
      <c r="Q66" s="52"/>
      <c r="R66" s="52"/>
      <c r="S66" s="52"/>
      <c r="T66" s="48">
        <f>F66+G66+H66-N66+O66-P66-R66-S66</f>
        <v>7933.6409760000006</v>
      </c>
      <c r="U66" s="48">
        <f t="shared" si="21"/>
        <v>7933.6409760000006</v>
      </c>
    </row>
    <row r="67" spans="1:21" s="10" customFormat="1" x14ac:dyDescent="0.3">
      <c r="A67" s="22">
        <v>37</v>
      </c>
      <c r="B67" s="14" t="s">
        <v>374</v>
      </c>
      <c r="C67" s="14" t="s">
        <v>396</v>
      </c>
      <c r="D67" s="43">
        <v>15</v>
      </c>
      <c r="E67" s="52">
        <v>626.19000000000005</v>
      </c>
      <c r="F67" s="52">
        <f t="shared" si="20"/>
        <v>9392.85</v>
      </c>
      <c r="G67" s="52"/>
      <c r="H67" s="63"/>
      <c r="I67" s="52">
        <v>5081</v>
      </c>
      <c r="J67" s="48">
        <f>+F67-I67</f>
        <v>4311.8500000000004</v>
      </c>
      <c r="K67" s="53">
        <v>0.21360000000000001</v>
      </c>
      <c r="L67" s="52">
        <f>(F67-5081.01)*21.36%</f>
        <v>921.00902399999995</v>
      </c>
      <c r="M67" s="52">
        <v>538.20000000000005</v>
      </c>
      <c r="N67" s="103">
        <f>L67+M67</f>
        <v>1459.209024</v>
      </c>
      <c r="O67" s="52"/>
      <c r="P67" s="52"/>
      <c r="Q67" s="52"/>
      <c r="R67" s="52"/>
      <c r="S67" s="52"/>
      <c r="T67" s="48">
        <f>F67+G67+H67-N67+O67-P67-R67-S67</f>
        <v>7933.6409760000006</v>
      </c>
      <c r="U67" s="48">
        <f t="shared" si="21"/>
        <v>7933.6409760000006</v>
      </c>
    </row>
    <row r="68" spans="1:21" s="10" customFormat="1" x14ac:dyDescent="0.3">
      <c r="A68" s="27">
        <v>38</v>
      </c>
      <c r="B68" s="14" t="s">
        <v>164</v>
      </c>
      <c r="C68" s="15" t="s">
        <v>428</v>
      </c>
      <c r="D68" s="43">
        <v>15</v>
      </c>
      <c r="E68" s="44">
        <v>414.83</v>
      </c>
      <c r="F68" s="44">
        <f t="shared" ref="F68" si="25">D68*E68</f>
        <v>6222.45</v>
      </c>
      <c r="G68" s="44"/>
      <c r="H68" s="23"/>
      <c r="I68" s="44">
        <f>VLOOKUP($F$69,Tabisr,1)</f>
        <v>5081.01</v>
      </c>
      <c r="J68" s="46">
        <f t="shared" ref="J68" si="26">+F68-I68</f>
        <v>1141.4399999999996</v>
      </c>
      <c r="K68" s="47">
        <f>VLOOKUP($F$69,Tabisr,4)</f>
        <v>0.21360000000000001</v>
      </c>
      <c r="L68" s="44">
        <f>(F68-4244.01)*17.92%</f>
        <v>354.53644800000001</v>
      </c>
      <c r="M68" s="44">
        <v>388.05</v>
      </c>
      <c r="N68" s="44">
        <v>782.01</v>
      </c>
      <c r="O68" s="44">
        <f>VLOOKUP($F$69,Tabsub,3)</f>
        <v>0</v>
      </c>
      <c r="P68" s="44"/>
      <c r="Q68" s="44"/>
      <c r="R68" s="44"/>
      <c r="S68" s="44"/>
      <c r="T68" s="46">
        <f t="shared" ref="T68" si="27">F68+G68+H68-N68+O68-P68-Q68-R68-S68</f>
        <v>5440.44</v>
      </c>
      <c r="U68" s="46">
        <f t="shared" si="21"/>
        <v>5440.44</v>
      </c>
    </row>
    <row r="69" spans="1:21" s="10" customFormat="1" x14ac:dyDescent="0.3">
      <c r="A69" s="22">
        <v>39</v>
      </c>
      <c r="B69" s="14" t="s">
        <v>301</v>
      </c>
      <c r="C69" s="14" t="s">
        <v>163</v>
      </c>
      <c r="D69" s="43">
        <v>15</v>
      </c>
      <c r="E69" s="52">
        <v>414.83</v>
      </c>
      <c r="F69" s="52">
        <f t="shared" ref="F69:F72" si="28">D69*E69</f>
        <v>6222.45</v>
      </c>
      <c r="G69" s="52"/>
      <c r="H69" s="52"/>
      <c r="I69" s="52">
        <f>VLOOKUP($F$209,Tabisr,1)</f>
        <v>5081.01</v>
      </c>
      <c r="J69" s="48">
        <f>+F69-I69</f>
        <v>1141.4399999999996</v>
      </c>
      <c r="K69" s="53">
        <f>VLOOKUP($F$209,Tabisr,4)</f>
        <v>0.21360000000000001</v>
      </c>
      <c r="L69" s="52">
        <f>+J69*K69</f>
        <v>243.81158399999993</v>
      </c>
      <c r="M69" s="52">
        <f>VLOOKUP($F$209,Tabisr,3)</f>
        <v>538.20000000000005</v>
      </c>
      <c r="N69" s="44">
        <f>M69+L69</f>
        <v>782.01158399999997</v>
      </c>
      <c r="O69" s="52">
        <f>VLOOKUP($F$367,Tabsub,3)</f>
        <v>0</v>
      </c>
      <c r="P69" s="52"/>
      <c r="Q69" s="52"/>
      <c r="R69" s="52"/>
      <c r="S69" s="52"/>
      <c r="T69" s="48">
        <f t="shared" ref="T69:T72" si="29">F69+G69+H69-N69+O69-P69-Q69-R69-S69</f>
        <v>5440.438416</v>
      </c>
      <c r="U69" s="48">
        <f t="shared" si="21"/>
        <v>5440.438416</v>
      </c>
    </row>
    <row r="70" spans="1:21" s="10" customFormat="1" x14ac:dyDescent="0.3">
      <c r="A70" s="22">
        <v>41</v>
      </c>
      <c r="B70" s="14" t="s">
        <v>8</v>
      </c>
      <c r="C70" s="113" t="s">
        <v>104</v>
      </c>
      <c r="D70" s="43">
        <v>15</v>
      </c>
      <c r="E70" s="52">
        <v>263.56</v>
      </c>
      <c r="F70" s="52">
        <f t="shared" si="28"/>
        <v>3953.4</v>
      </c>
      <c r="G70" s="52"/>
      <c r="H70" s="52"/>
      <c r="I70" s="52">
        <f>VLOOKUP($F$70,Tabisr,1)</f>
        <v>3651.01</v>
      </c>
      <c r="J70" s="48">
        <f t="shared" ref="J70:J72" si="30">+F70-I70</f>
        <v>302.38999999999987</v>
      </c>
      <c r="K70" s="53">
        <f>VLOOKUP($F$70,Tabisr,4)</f>
        <v>0.16</v>
      </c>
      <c r="L70" s="52">
        <f>(F70-3651.01)*16%</f>
        <v>48.382399999999983</v>
      </c>
      <c r="M70" s="52">
        <v>293.25</v>
      </c>
      <c r="N70" s="52">
        <f>M70+L70</f>
        <v>341.63239999999996</v>
      </c>
      <c r="O70" s="52">
        <f>VLOOKUP($F$70,Tabsub,3)</f>
        <v>0</v>
      </c>
      <c r="P70" s="52"/>
      <c r="Q70" s="52"/>
      <c r="R70" s="68"/>
      <c r="S70" s="68"/>
      <c r="T70" s="48">
        <f t="shared" si="29"/>
        <v>3611.7676000000001</v>
      </c>
      <c r="U70" s="48">
        <f t="shared" si="21"/>
        <v>3611.7676000000001</v>
      </c>
    </row>
    <row r="71" spans="1:21" s="10" customFormat="1" x14ac:dyDescent="0.3">
      <c r="A71" s="22">
        <v>42</v>
      </c>
      <c r="B71" s="14" t="s">
        <v>278</v>
      </c>
      <c r="C71" s="15" t="s">
        <v>227</v>
      </c>
      <c r="D71" s="43">
        <v>15</v>
      </c>
      <c r="E71" s="52">
        <v>312.26</v>
      </c>
      <c r="F71" s="52">
        <f t="shared" si="28"/>
        <v>4683.8999999999996</v>
      </c>
      <c r="G71" s="52"/>
      <c r="H71" s="52"/>
      <c r="I71" s="52">
        <f>VLOOKUP($F$69,Tabisr,1)</f>
        <v>5081.01</v>
      </c>
      <c r="J71" s="48">
        <f t="shared" si="30"/>
        <v>-397.11000000000058</v>
      </c>
      <c r="K71" s="53">
        <f>VLOOKUP($F$69,Tabisr,4)</f>
        <v>0.21360000000000001</v>
      </c>
      <c r="L71" s="52">
        <f>(F71-4244.01)*17.92%</f>
        <v>78.828287999999901</v>
      </c>
      <c r="M71" s="52">
        <v>388.05</v>
      </c>
      <c r="N71" s="52">
        <f>M71+L71</f>
        <v>466.87828799999988</v>
      </c>
      <c r="O71" s="52">
        <f>VLOOKUP($F$69,Tabsub,3)</f>
        <v>0</v>
      </c>
      <c r="P71" s="52"/>
      <c r="Q71" s="52"/>
      <c r="R71" s="52"/>
      <c r="S71" s="52"/>
      <c r="T71" s="48">
        <f t="shared" si="29"/>
        <v>4217.0217119999998</v>
      </c>
      <c r="U71" s="48">
        <f t="shared" si="21"/>
        <v>4217.0217119999998</v>
      </c>
    </row>
    <row r="72" spans="1:21" s="10" customFormat="1" x14ac:dyDescent="0.3">
      <c r="A72" s="22">
        <v>43</v>
      </c>
      <c r="B72" s="14" t="s">
        <v>46</v>
      </c>
      <c r="C72" s="14" t="s">
        <v>86</v>
      </c>
      <c r="D72" s="43">
        <v>15</v>
      </c>
      <c r="E72" s="67">
        <v>263.56</v>
      </c>
      <c r="F72" s="52">
        <f t="shared" si="28"/>
        <v>3953.4</v>
      </c>
      <c r="G72" s="52"/>
      <c r="H72" s="52"/>
      <c r="I72" s="52">
        <f>VLOOKUP($F$72,Tabisr,1)</f>
        <v>3651.01</v>
      </c>
      <c r="J72" s="48">
        <f t="shared" si="30"/>
        <v>302.38999999999987</v>
      </c>
      <c r="K72" s="53">
        <f>VLOOKUP($F$72,Tabisr,4)</f>
        <v>0.16</v>
      </c>
      <c r="L72" s="52">
        <f>(F72-3651.01)*16%</f>
        <v>48.382399999999983</v>
      </c>
      <c r="M72" s="52">
        <v>293.25</v>
      </c>
      <c r="N72" s="52">
        <f>M72+L72</f>
        <v>341.63239999999996</v>
      </c>
      <c r="O72" s="52">
        <f>VLOOKUP($F$72,Tabsub,3)</f>
        <v>0</v>
      </c>
      <c r="P72" s="52"/>
      <c r="Q72" s="52"/>
      <c r="R72" s="52"/>
      <c r="S72" s="52"/>
      <c r="T72" s="48">
        <f t="shared" si="29"/>
        <v>3611.7676000000001</v>
      </c>
      <c r="U72" s="48">
        <f t="shared" si="21"/>
        <v>3611.7676000000001</v>
      </c>
    </row>
    <row r="73" spans="1:21" s="10" customFormat="1" x14ac:dyDescent="0.3">
      <c r="A73" s="24"/>
      <c r="B73" s="114"/>
      <c r="C73" s="115"/>
      <c r="D73" s="64" t="s">
        <v>342</v>
      </c>
      <c r="E73" s="64"/>
      <c r="F73" s="65">
        <f>SUM(F61:F72)</f>
        <v>79062.749999999985</v>
      </c>
      <c r="G73" s="65">
        <f>SUM(G61:G72)</f>
        <v>0</v>
      </c>
      <c r="H73" s="65">
        <f t="shared" ref="H73:U73" si="31">SUM(H61:H72)</f>
        <v>0</v>
      </c>
      <c r="I73" s="65">
        <f t="shared" si="31"/>
        <v>56682.100000000013</v>
      </c>
      <c r="J73" s="65">
        <f t="shared" si="31"/>
        <v>22380.649999999994</v>
      </c>
      <c r="K73" s="65">
        <f t="shared" si="31"/>
        <v>2.4024000000000005</v>
      </c>
      <c r="L73" s="65">
        <f t="shared" si="31"/>
        <v>4150.7166720000005</v>
      </c>
      <c r="M73" s="65">
        <f t="shared" si="31"/>
        <v>6376.65</v>
      </c>
      <c r="N73" s="65">
        <f t="shared" si="31"/>
        <v>10566.790224</v>
      </c>
      <c r="O73" s="65">
        <f t="shared" si="31"/>
        <v>0</v>
      </c>
      <c r="P73" s="65">
        <f t="shared" si="31"/>
        <v>0</v>
      </c>
      <c r="Q73" s="65">
        <f t="shared" si="31"/>
        <v>0</v>
      </c>
      <c r="R73" s="65">
        <f t="shared" si="31"/>
        <v>0</v>
      </c>
      <c r="S73" s="65">
        <f t="shared" si="31"/>
        <v>0</v>
      </c>
      <c r="T73" s="65">
        <f t="shared" si="31"/>
        <v>68495.959776000003</v>
      </c>
      <c r="U73" s="65">
        <f t="shared" si="31"/>
        <v>68495.959776000003</v>
      </c>
    </row>
    <row r="74" spans="1:21" s="10" customFormat="1" x14ac:dyDescent="0.3">
      <c r="A74" s="24"/>
      <c r="B74" s="114"/>
      <c r="C74" s="115"/>
      <c r="D74" s="64"/>
      <c r="E74" s="64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1:21" s="10" customFormat="1" ht="18" x14ac:dyDescent="0.3">
      <c r="A75" s="173" t="s">
        <v>409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</row>
    <row r="76" spans="1:21" s="10" customFormat="1" ht="33.75" customHeight="1" x14ac:dyDescent="0.3">
      <c r="A76" s="21" t="s">
        <v>69</v>
      </c>
      <c r="B76" s="21" t="s">
        <v>17</v>
      </c>
      <c r="C76" s="21" t="s">
        <v>84</v>
      </c>
      <c r="D76" s="21" t="s">
        <v>27</v>
      </c>
      <c r="E76" s="21" t="s">
        <v>19</v>
      </c>
      <c r="F76" s="21" t="s">
        <v>18</v>
      </c>
      <c r="G76" s="21" t="s">
        <v>66</v>
      </c>
      <c r="H76" s="21" t="s">
        <v>74</v>
      </c>
      <c r="I76" s="37" t="s">
        <v>188</v>
      </c>
      <c r="J76" s="37" t="s">
        <v>189</v>
      </c>
      <c r="K76" s="37" t="s">
        <v>190</v>
      </c>
      <c r="L76" s="37" t="s">
        <v>191</v>
      </c>
      <c r="M76" s="21" t="s">
        <v>192</v>
      </c>
      <c r="N76" s="21" t="s">
        <v>67</v>
      </c>
      <c r="O76" s="21" t="s">
        <v>68</v>
      </c>
      <c r="P76" s="21" t="s">
        <v>20</v>
      </c>
      <c r="Q76" s="21" t="s">
        <v>299</v>
      </c>
      <c r="R76" s="21" t="s">
        <v>72</v>
      </c>
      <c r="S76" s="21" t="s">
        <v>82</v>
      </c>
      <c r="T76" s="21" t="s">
        <v>80</v>
      </c>
      <c r="U76" s="21" t="s">
        <v>81</v>
      </c>
    </row>
    <row r="77" spans="1:21" s="10" customFormat="1" x14ac:dyDescent="0.3">
      <c r="A77" s="29">
        <v>212</v>
      </c>
      <c r="B77" s="14" t="s">
        <v>127</v>
      </c>
      <c r="C77" s="14" t="s">
        <v>409</v>
      </c>
      <c r="D77" s="29">
        <v>15</v>
      </c>
      <c r="E77" s="75">
        <v>414.83</v>
      </c>
      <c r="F77" s="76">
        <f t="shared" ref="F77" si="32">D77*E77</f>
        <v>6222.45</v>
      </c>
      <c r="G77" s="76"/>
      <c r="H77" s="76"/>
      <c r="I77" s="76">
        <v>5081</v>
      </c>
      <c r="J77" s="76">
        <f>+F77-I77</f>
        <v>1141.4499999999998</v>
      </c>
      <c r="K77" s="76">
        <v>0.21360000000000001</v>
      </c>
      <c r="L77" s="76">
        <f>(F77-5081.01)*21.36%</f>
        <v>243.8115839999999</v>
      </c>
      <c r="M77" s="76">
        <v>538.20000000000005</v>
      </c>
      <c r="N77" s="76">
        <f>L77+M77</f>
        <v>782.01158399999997</v>
      </c>
      <c r="O77" s="81"/>
      <c r="P77" s="81"/>
      <c r="Q77" s="44"/>
      <c r="R77" s="44"/>
      <c r="S77" s="44"/>
      <c r="T77" s="44">
        <f>F77+G77+H77-N77+O77-P77-Q77-R77-S77</f>
        <v>5440.438416</v>
      </c>
      <c r="U77" s="44">
        <f>T77-G77</f>
        <v>5440.438416</v>
      </c>
    </row>
    <row r="78" spans="1:21" s="12" customFormat="1" x14ac:dyDescent="0.3">
      <c r="A78" s="29">
        <v>213</v>
      </c>
      <c r="B78" s="14" t="s">
        <v>378</v>
      </c>
      <c r="C78" s="14" t="s">
        <v>86</v>
      </c>
      <c r="D78" s="29">
        <v>15</v>
      </c>
      <c r="E78" s="75">
        <v>263.56</v>
      </c>
      <c r="F78" s="76">
        <f>D78*E78</f>
        <v>3953.4</v>
      </c>
      <c r="G78" s="76"/>
      <c r="H78" s="76"/>
      <c r="I78" s="76">
        <v>309.77999999999997</v>
      </c>
      <c r="J78" s="76"/>
      <c r="K78" s="76">
        <v>1050</v>
      </c>
      <c r="L78" s="76"/>
      <c r="M78" s="76"/>
      <c r="N78" s="76">
        <v>309.77999999999997</v>
      </c>
      <c r="O78" s="76"/>
      <c r="P78" s="76"/>
      <c r="Q78" s="52"/>
      <c r="R78" s="52"/>
      <c r="S78" s="52"/>
      <c r="T78" s="52">
        <f>F78+G78+H78-N78+O78-P78-Q78-R78-S78</f>
        <v>3643.62</v>
      </c>
      <c r="U78" s="52">
        <f>T78-G78</f>
        <v>3643.62</v>
      </c>
    </row>
    <row r="79" spans="1:21" s="10" customFormat="1" x14ac:dyDescent="0.3">
      <c r="A79" s="22">
        <v>40</v>
      </c>
      <c r="B79" s="14" t="s">
        <v>325</v>
      </c>
      <c r="C79" s="113" t="s">
        <v>410</v>
      </c>
      <c r="D79" s="43">
        <v>15</v>
      </c>
      <c r="E79" s="52">
        <v>312.26</v>
      </c>
      <c r="F79" s="52">
        <f>D79*E79</f>
        <v>4683.8999999999996</v>
      </c>
      <c r="G79" s="52"/>
      <c r="H79" s="52"/>
      <c r="I79" s="52">
        <f>VLOOKUP($F$69,Tabisr,1)</f>
        <v>5081.01</v>
      </c>
      <c r="J79" s="48">
        <f>+F79-I79</f>
        <v>-397.11000000000058</v>
      </c>
      <c r="K79" s="53">
        <f>VLOOKUP($F$69,Tabisr,4)</f>
        <v>0.21360000000000001</v>
      </c>
      <c r="L79" s="52">
        <f>(F79-4244.01)*17.92%</f>
        <v>78.828287999999901</v>
      </c>
      <c r="M79" s="52">
        <v>388.05</v>
      </c>
      <c r="N79" s="52">
        <f>L79+M79</f>
        <v>466.87828799999988</v>
      </c>
      <c r="O79" s="52">
        <f>VLOOKUP($F$241,Tabsub,3)</f>
        <v>0</v>
      </c>
      <c r="P79" s="52"/>
      <c r="Q79" s="52"/>
      <c r="R79" s="52"/>
      <c r="S79" s="52"/>
      <c r="T79" s="48">
        <f>F79+G79+H79-N79+O79-P79-Q79-R79-S79</f>
        <v>4217.0217119999998</v>
      </c>
      <c r="U79" s="48">
        <f>T79-G79</f>
        <v>4217.0217119999998</v>
      </c>
    </row>
    <row r="80" spans="1:21" s="10" customFormat="1" x14ac:dyDescent="0.3">
      <c r="A80" s="22">
        <v>27</v>
      </c>
      <c r="B80" s="105" t="s">
        <v>387</v>
      </c>
      <c r="C80" s="112" t="s">
        <v>411</v>
      </c>
      <c r="D80" s="43">
        <v>15</v>
      </c>
      <c r="E80" s="52">
        <v>263.56</v>
      </c>
      <c r="F80" s="52">
        <f>D80*E80</f>
        <v>3953.4</v>
      </c>
      <c r="G80" s="52"/>
      <c r="H80" s="52"/>
      <c r="I80" s="52">
        <v>4244.01</v>
      </c>
      <c r="J80" s="48">
        <f>+F80-I80</f>
        <v>-290.61000000000013</v>
      </c>
      <c r="K80" s="53">
        <v>0.1792</v>
      </c>
      <c r="L80" s="52">
        <f>(F80-3651.01)*16%</f>
        <v>48.382399999999983</v>
      </c>
      <c r="M80" s="52">
        <v>293.25</v>
      </c>
      <c r="N80" s="52">
        <f>M80+L80</f>
        <v>341.63239999999996</v>
      </c>
      <c r="O80" s="52"/>
      <c r="P80" s="52"/>
      <c r="Q80" s="52"/>
      <c r="R80" s="52"/>
      <c r="S80" s="52"/>
      <c r="T80" s="48">
        <f>F80+G80+H80-N80+O80-P80-R80-S80</f>
        <v>3611.7676000000001</v>
      </c>
      <c r="U80" s="48">
        <f>T80-G80</f>
        <v>3611.7676000000001</v>
      </c>
    </row>
    <row r="81" spans="1:21" s="10" customFormat="1" x14ac:dyDescent="0.3">
      <c r="A81" s="31"/>
      <c r="B81" s="137"/>
      <c r="C81" s="138"/>
      <c r="D81" s="139"/>
      <c r="E81" s="140"/>
      <c r="F81" s="141">
        <f>SUM(F77:F80)</f>
        <v>18813.150000000001</v>
      </c>
      <c r="G81" s="141">
        <f>SUM(G77:G80)</f>
        <v>0</v>
      </c>
      <c r="H81" s="141">
        <f t="shared" ref="H81:U81" si="33">SUM(H77:H80)</f>
        <v>0</v>
      </c>
      <c r="I81" s="141">
        <f t="shared" si="33"/>
        <v>14715.800000000001</v>
      </c>
      <c r="J81" s="141">
        <f t="shared" si="33"/>
        <v>453.72999999999911</v>
      </c>
      <c r="K81" s="141">
        <f t="shared" si="33"/>
        <v>1050.6064000000001</v>
      </c>
      <c r="L81" s="141">
        <f t="shared" si="33"/>
        <v>371.02227199999976</v>
      </c>
      <c r="M81" s="141">
        <f t="shared" si="33"/>
        <v>1219.5</v>
      </c>
      <c r="N81" s="141">
        <f t="shared" si="33"/>
        <v>1900.3022719999999</v>
      </c>
      <c r="O81" s="141">
        <f t="shared" si="33"/>
        <v>0</v>
      </c>
      <c r="P81" s="141">
        <f t="shared" si="33"/>
        <v>0</v>
      </c>
      <c r="Q81" s="141">
        <f t="shared" si="33"/>
        <v>0</v>
      </c>
      <c r="R81" s="141">
        <f t="shared" si="33"/>
        <v>0</v>
      </c>
      <c r="S81" s="141">
        <f t="shared" si="33"/>
        <v>0</v>
      </c>
      <c r="T81" s="141">
        <f t="shared" si="33"/>
        <v>16912.847728000001</v>
      </c>
      <c r="U81" s="141">
        <f t="shared" si="33"/>
        <v>16912.847728000001</v>
      </c>
    </row>
    <row r="82" spans="1:21" s="10" customFormat="1" x14ac:dyDescent="0.3">
      <c r="A82" s="24"/>
      <c r="B82" s="114"/>
      <c r="C82" s="115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s="10" customFormat="1" ht="18" x14ac:dyDescent="0.3">
      <c r="A83" s="173" t="s">
        <v>250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1" s="10" customFormat="1" ht="34.5" customHeight="1" x14ac:dyDescent="0.3">
      <c r="A84" s="21" t="s">
        <v>69</v>
      </c>
      <c r="B84" s="21" t="s">
        <v>17</v>
      </c>
      <c r="C84" s="21" t="s">
        <v>84</v>
      </c>
      <c r="D84" s="21" t="s">
        <v>27</v>
      </c>
      <c r="E84" s="21" t="s">
        <v>19</v>
      </c>
      <c r="F84" s="21" t="s">
        <v>18</v>
      </c>
      <c r="G84" s="21" t="s">
        <v>66</v>
      </c>
      <c r="H84" s="21" t="s">
        <v>74</v>
      </c>
      <c r="I84" s="37" t="s">
        <v>188</v>
      </c>
      <c r="J84" s="37" t="s">
        <v>189</v>
      </c>
      <c r="K84" s="37" t="s">
        <v>190</v>
      </c>
      <c r="L84" s="37" t="s">
        <v>191</v>
      </c>
      <c r="M84" s="21" t="s">
        <v>192</v>
      </c>
      <c r="N84" s="21" t="s">
        <v>67</v>
      </c>
      <c r="O84" s="21" t="s">
        <v>68</v>
      </c>
      <c r="P84" s="21" t="s">
        <v>20</v>
      </c>
      <c r="Q84" s="21" t="s">
        <v>299</v>
      </c>
      <c r="R84" s="21" t="s">
        <v>72</v>
      </c>
      <c r="S84" s="21" t="s">
        <v>82</v>
      </c>
      <c r="T84" s="21" t="s">
        <v>80</v>
      </c>
      <c r="U84" s="21" t="s">
        <v>81</v>
      </c>
    </row>
    <row r="85" spans="1:21" s="10" customFormat="1" x14ac:dyDescent="0.3">
      <c r="A85" s="22">
        <v>44</v>
      </c>
      <c r="B85" s="14" t="s">
        <v>283</v>
      </c>
      <c r="C85" s="14" t="s">
        <v>317</v>
      </c>
      <c r="D85" s="43">
        <v>15</v>
      </c>
      <c r="E85" s="52">
        <v>661.33</v>
      </c>
      <c r="F85" s="52">
        <f>D85*E85</f>
        <v>9919.9500000000007</v>
      </c>
      <c r="G85" s="52"/>
      <c r="H85" s="63"/>
      <c r="I85" s="52">
        <v>5081</v>
      </c>
      <c r="J85" s="48">
        <f>+F85-I85</f>
        <v>4838.9500000000007</v>
      </c>
      <c r="K85" s="53">
        <v>0.21360000000000001</v>
      </c>
      <c r="L85" s="52">
        <f>(F85-5081.01)*21.36%</f>
        <v>1033.5975840000001</v>
      </c>
      <c r="M85" s="52">
        <v>538.20000000000005</v>
      </c>
      <c r="N85" s="54">
        <f>L85+M85</f>
        <v>1571.7975840000001</v>
      </c>
      <c r="O85" s="52"/>
      <c r="P85" s="52"/>
      <c r="Q85" s="52"/>
      <c r="R85" s="52"/>
      <c r="S85" s="52"/>
      <c r="T85" s="48">
        <f>F85+G85+H85-N85+O85-P85-R85-S85</f>
        <v>8348.1524160000008</v>
      </c>
      <c r="U85" s="48">
        <f>T85-G85</f>
        <v>8348.1524160000008</v>
      </c>
    </row>
    <row r="86" spans="1:21" s="10" customFormat="1" x14ac:dyDescent="0.3">
      <c r="A86" s="24"/>
      <c r="B86" s="110"/>
      <c r="C86" s="19"/>
      <c r="D86" s="49"/>
      <c r="E86" s="50"/>
      <c r="F86" s="56">
        <f>+SUM(F85:F85)</f>
        <v>9919.9500000000007</v>
      </c>
      <c r="G86" s="56">
        <f t="shared" ref="G86:U86" si="34">+SUM(G85:G85)</f>
        <v>0</v>
      </c>
      <c r="H86" s="56">
        <f t="shared" si="34"/>
        <v>0</v>
      </c>
      <c r="I86" s="56">
        <f t="shared" si="34"/>
        <v>5081</v>
      </c>
      <c r="J86" s="56">
        <f t="shared" si="34"/>
        <v>4838.9500000000007</v>
      </c>
      <c r="K86" s="56">
        <f t="shared" si="34"/>
        <v>0.21360000000000001</v>
      </c>
      <c r="L86" s="56">
        <f t="shared" si="34"/>
        <v>1033.5975840000001</v>
      </c>
      <c r="M86" s="56">
        <f t="shared" si="34"/>
        <v>538.20000000000005</v>
      </c>
      <c r="N86" s="56">
        <f t="shared" si="34"/>
        <v>1571.7975840000001</v>
      </c>
      <c r="O86" s="56">
        <f t="shared" si="34"/>
        <v>0</v>
      </c>
      <c r="P86" s="56">
        <f t="shared" si="34"/>
        <v>0</v>
      </c>
      <c r="Q86" s="56">
        <f t="shared" si="34"/>
        <v>0</v>
      </c>
      <c r="R86" s="56">
        <f t="shared" si="34"/>
        <v>0</v>
      </c>
      <c r="S86" s="56">
        <f t="shared" si="34"/>
        <v>0</v>
      </c>
      <c r="T86" s="56">
        <f t="shared" si="34"/>
        <v>8348.1524160000008</v>
      </c>
      <c r="U86" s="56">
        <f t="shared" si="34"/>
        <v>8348.1524160000008</v>
      </c>
    </row>
    <row r="87" spans="1:21" s="10" customFormat="1" x14ac:dyDescent="0.3">
      <c r="A87" s="24"/>
      <c r="B87" s="110"/>
      <c r="C87" s="19"/>
      <c r="D87" s="49"/>
      <c r="E87" s="50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88" spans="1:21" s="10" customFormat="1" ht="18.75" customHeight="1" x14ac:dyDescent="0.3">
      <c r="A88" s="175" t="s">
        <v>251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</row>
    <row r="89" spans="1:21" s="10" customFormat="1" ht="35.25" customHeight="1" x14ac:dyDescent="0.3">
      <c r="A89" s="21" t="s">
        <v>69</v>
      </c>
      <c r="B89" s="21" t="s">
        <v>17</v>
      </c>
      <c r="C89" s="21" t="s">
        <v>84</v>
      </c>
      <c r="D89" s="21" t="s">
        <v>27</v>
      </c>
      <c r="E89" s="21" t="s">
        <v>19</v>
      </c>
      <c r="F89" s="21" t="s">
        <v>18</v>
      </c>
      <c r="G89" s="21" t="s">
        <v>66</v>
      </c>
      <c r="H89" s="21" t="s">
        <v>74</v>
      </c>
      <c r="I89" s="37" t="s">
        <v>188</v>
      </c>
      <c r="J89" s="37" t="s">
        <v>189</v>
      </c>
      <c r="K89" s="37" t="s">
        <v>190</v>
      </c>
      <c r="L89" s="37" t="s">
        <v>191</v>
      </c>
      <c r="M89" s="21" t="s">
        <v>192</v>
      </c>
      <c r="N89" s="21" t="s">
        <v>67</v>
      </c>
      <c r="O89" s="21" t="s">
        <v>68</v>
      </c>
      <c r="P89" s="21" t="s">
        <v>20</v>
      </c>
      <c r="Q89" s="21" t="s">
        <v>299</v>
      </c>
      <c r="R89" s="21" t="s">
        <v>72</v>
      </c>
      <c r="S89" s="21" t="s">
        <v>82</v>
      </c>
      <c r="T89" s="21" t="s">
        <v>80</v>
      </c>
      <c r="U89" s="21" t="s">
        <v>81</v>
      </c>
    </row>
    <row r="90" spans="1:21" s="10" customFormat="1" ht="28.8" x14ac:dyDescent="0.3">
      <c r="A90" s="22">
        <v>45</v>
      </c>
      <c r="B90" s="14" t="s">
        <v>125</v>
      </c>
      <c r="C90" s="113" t="s">
        <v>318</v>
      </c>
      <c r="D90" s="43">
        <v>15</v>
      </c>
      <c r="E90" s="52">
        <v>661.33</v>
      </c>
      <c r="F90" s="52">
        <f>D90*E90</f>
        <v>9919.9500000000007</v>
      </c>
      <c r="G90" s="40"/>
      <c r="H90" s="40"/>
      <c r="I90" s="52">
        <v>5081</v>
      </c>
      <c r="J90" s="48">
        <f>+F90-I90</f>
        <v>4838.9500000000007</v>
      </c>
      <c r="K90" s="53">
        <v>0.21360000000000001</v>
      </c>
      <c r="L90" s="52">
        <f>(F90-5081.01)*21.36%</f>
        <v>1033.5975840000001</v>
      </c>
      <c r="M90" s="52">
        <v>538.20000000000005</v>
      </c>
      <c r="N90" s="52">
        <f>L90+M90</f>
        <v>1571.7975840000001</v>
      </c>
      <c r="O90" s="52">
        <f>VLOOKUP($F$90,Tabsub,3)</f>
        <v>0</v>
      </c>
      <c r="P90" s="40"/>
      <c r="Q90" s="40"/>
      <c r="R90" s="40"/>
      <c r="S90" s="40"/>
      <c r="T90" s="48">
        <f>F90+G90+H90-N90+O90-P90-Q90-R90-S90</f>
        <v>8348.1524160000008</v>
      </c>
      <c r="U90" s="48">
        <f>T90-G90</f>
        <v>8348.1524160000008</v>
      </c>
    </row>
    <row r="91" spans="1:21" s="10" customFormat="1" x14ac:dyDescent="0.3">
      <c r="A91" s="22">
        <v>83</v>
      </c>
      <c r="B91" s="14" t="s">
        <v>349</v>
      </c>
      <c r="C91" s="15" t="s">
        <v>86</v>
      </c>
      <c r="D91" s="43">
        <v>15</v>
      </c>
      <c r="E91" s="147">
        <v>263.56</v>
      </c>
      <c r="F91" s="147">
        <f>D91*E91</f>
        <v>3953.4</v>
      </c>
      <c r="G91" s="103"/>
      <c r="H91" s="147"/>
      <c r="I91" s="147">
        <f>VLOOKUP($F$72,Tabisr,1)</f>
        <v>3651.01</v>
      </c>
      <c r="J91" s="147">
        <f>+F91-I91</f>
        <v>302.38999999999987</v>
      </c>
      <c r="K91" s="147">
        <f>VLOOKUP($F$72,Tabisr,4)</f>
        <v>0.16</v>
      </c>
      <c r="L91" s="147">
        <f>(F91-3651.01)*16%</f>
        <v>48.382399999999983</v>
      </c>
      <c r="M91" s="147">
        <v>293.25</v>
      </c>
      <c r="N91" s="133">
        <f>M91+L91</f>
        <v>341.63239999999996</v>
      </c>
      <c r="O91" s="147"/>
      <c r="P91" s="147"/>
      <c r="Q91" s="148"/>
      <c r="R91" s="147"/>
      <c r="S91" s="147"/>
      <c r="T91" s="133">
        <f>F91+G91+H91-N91+O91-P91-Q91-R91-S91</f>
        <v>3611.7676000000001</v>
      </c>
      <c r="U91" s="133">
        <f>T91-G91</f>
        <v>3611.7676000000001</v>
      </c>
    </row>
    <row r="92" spans="1:21" s="10" customFormat="1" x14ac:dyDescent="0.3">
      <c r="A92" s="24"/>
      <c r="B92" s="110"/>
      <c r="C92" s="19"/>
      <c r="D92" s="49"/>
      <c r="E92" s="50"/>
      <c r="F92" s="56">
        <f>+SUM(F90:F91)</f>
        <v>13873.35</v>
      </c>
      <c r="G92" s="56">
        <f>+SUM(G90:G91)</f>
        <v>0</v>
      </c>
      <c r="H92" s="56">
        <f t="shared" ref="H92:U92" si="35">+SUM(H90:H91)</f>
        <v>0</v>
      </c>
      <c r="I92" s="56">
        <f t="shared" si="35"/>
        <v>8732.01</v>
      </c>
      <c r="J92" s="56">
        <f t="shared" si="35"/>
        <v>5141.34</v>
      </c>
      <c r="K92" s="56">
        <f t="shared" si="35"/>
        <v>0.37360000000000004</v>
      </c>
      <c r="L92" s="56">
        <f t="shared" si="35"/>
        <v>1081.9799840000001</v>
      </c>
      <c r="M92" s="56">
        <f t="shared" si="35"/>
        <v>831.45</v>
      </c>
      <c r="N92" s="56">
        <f t="shared" si="35"/>
        <v>1913.4299840000001</v>
      </c>
      <c r="O92" s="56">
        <f t="shared" si="35"/>
        <v>0</v>
      </c>
      <c r="P92" s="56">
        <f t="shared" si="35"/>
        <v>0</v>
      </c>
      <c r="Q92" s="56">
        <f t="shared" si="35"/>
        <v>0</v>
      </c>
      <c r="R92" s="56">
        <f t="shared" si="35"/>
        <v>0</v>
      </c>
      <c r="S92" s="56">
        <f t="shared" si="35"/>
        <v>0</v>
      </c>
      <c r="T92" s="56">
        <f t="shared" si="35"/>
        <v>11959.920016</v>
      </c>
      <c r="U92" s="56">
        <f t="shared" si="35"/>
        <v>11959.920016</v>
      </c>
    </row>
    <row r="93" spans="1:21" s="10" customFormat="1" x14ac:dyDescent="0.3">
      <c r="A93" s="24"/>
      <c r="B93" s="110"/>
      <c r="C93" s="19"/>
      <c r="D93" s="49"/>
      <c r="E93" s="50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</row>
    <row r="94" spans="1:21" s="10" customFormat="1" x14ac:dyDescent="0.3">
      <c r="A94" s="24"/>
      <c r="B94" s="110"/>
      <c r="C94" s="19"/>
      <c r="D94" s="49"/>
      <c r="E94" s="50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 s="10" customFormat="1" x14ac:dyDescent="0.3">
      <c r="A95" s="24"/>
      <c r="B95" s="110"/>
      <c r="C95" s="19"/>
      <c r="D95" s="49"/>
      <c r="E95" s="50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  <row r="96" spans="1:21" s="10" customFormat="1" x14ac:dyDescent="0.3">
      <c r="A96" s="24"/>
      <c r="B96" s="110"/>
      <c r="C96" s="19"/>
      <c r="D96" s="49"/>
      <c r="E96" s="50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</row>
    <row r="97" spans="1:21" s="10" customFormat="1" ht="18.75" customHeight="1" x14ac:dyDescent="0.3">
      <c r="A97" s="175" t="s">
        <v>252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</row>
    <row r="98" spans="1:21" s="10" customFormat="1" ht="31.5" customHeight="1" x14ac:dyDescent="0.3">
      <c r="A98" s="21" t="s">
        <v>69</v>
      </c>
      <c r="B98" s="21" t="s">
        <v>17</v>
      </c>
      <c r="C98" s="21" t="s">
        <v>84</v>
      </c>
      <c r="D98" s="21" t="s">
        <v>27</v>
      </c>
      <c r="E98" s="21" t="s">
        <v>19</v>
      </c>
      <c r="F98" s="21" t="s">
        <v>18</v>
      </c>
      <c r="G98" s="21" t="s">
        <v>66</v>
      </c>
      <c r="H98" s="21" t="s">
        <v>74</v>
      </c>
      <c r="I98" s="37" t="s">
        <v>188</v>
      </c>
      <c r="J98" s="37" t="s">
        <v>189</v>
      </c>
      <c r="K98" s="37" t="s">
        <v>190</v>
      </c>
      <c r="L98" s="37" t="s">
        <v>191</v>
      </c>
      <c r="M98" s="21" t="s">
        <v>192</v>
      </c>
      <c r="N98" s="21" t="s">
        <v>67</v>
      </c>
      <c r="O98" s="21" t="s">
        <v>68</v>
      </c>
      <c r="P98" s="21" t="s">
        <v>20</v>
      </c>
      <c r="Q98" s="21" t="s">
        <v>299</v>
      </c>
      <c r="R98" s="21" t="s">
        <v>72</v>
      </c>
      <c r="S98" s="21" t="s">
        <v>82</v>
      </c>
      <c r="T98" s="21" t="s">
        <v>80</v>
      </c>
      <c r="U98" s="21" t="s">
        <v>81</v>
      </c>
    </row>
    <row r="99" spans="1:21" s="10" customFormat="1" x14ac:dyDescent="0.3">
      <c r="A99" s="26">
        <v>47</v>
      </c>
      <c r="B99" s="111" t="s">
        <v>303</v>
      </c>
      <c r="C99" s="111" t="s">
        <v>155</v>
      </c>
      <c r="D99" s="58"/>
      <c r="E99" s="59"/>
      <c r="F99" s="59"/>
      <c r="G99" s="59"/>
      <c r="H99" s="59"/>
      <c r="I99" s="59"/>
      <c r="J99" s="61"/>
      <c r="K99" s="62"/>
      <c r="L99" s="59"/>
      <c r="M99" s="59"/>
      <c r="N99" s="59"/>
      <c r="O99" s="59"/>
      <c r="P99" s="59"/>
      <c r="Q99" s="59"/>
      <c r="R99" s="59"/>
      <c r="S99" s="59"/>
      <c r="T99" s="61"/>
      <c r="U99" s="61"/>
    </row>
    <row r="100" spans="1:21" s="10" customFormat="1" x14ac:dyDescent="0.3">
      <c r="A100" s="27"/>
      <c r="B100" s="14" t="s">
        <v>429</v>
      </c>
      <c r="C100" s="14" t="s">
        <v>86</v>
      </c>
      <c r="D100" s="27">
        <v>15</v>
      </c>
      <c r="E100" s="75">
        <v>263.56</v>
      </c>
      <c r="F100" s="76">
        <f>D100*E100</f>
        <v>3953.4</v>
      </c>
      <c r="G100" s="76"/>
      <c r="H100" s="76"/>
      <c r="I100" s="76">
        <v>309.77999999999997</v>
      </c>
      <c r="J100" s="76"/>
      <c r="K100" s="76">
        <v>1050</v>
      </c>
      <c r="L100" s="76"/>
      <c r="M100" s="76"/>
      <c r="N100" s="133">
        <v>341.63</v>
      </c>
      <c r="O100" s="76"/>
      <c r="P100" s="76"/>
      <c r="Q100" s="52"/>
      <c r="R100" s="52"/>
      <c r="S100" s="52"/>
      <c r="T100" s="52">
        <f>F100+G100+H100-N100+O100-P100-Q100-R100-S100</f>
        <v>3611.77</v>
      </c>
      <c r="U100" s="52">
        <f>T100-G100</f>
        <v>3611.77</v>
      </c>
    </row>
    <row r="101" spans="1:21" s="10" customFormat="1" x14ac:dyDescent="0.3">
      <c r="A101" s="23">
        <v>48</v>
      </c>
      <c r="B101" s="14" t="s">
        <v>123</v>
      </c>
      <c r="C101" s="109" t="s">
        <v>98</v>
      </c>
      <c r="D101" s="66">
        <v>15</v>
      </c>
      <c r="E101" s="44">
        <v>312.26</v>
      </c>
      <c r="F101" s="44">
        <f>D101*E101</f>
        <v>4683.8999999999996</v>
      </c>
      <c r="G101" s="44"/>
      <c r="H101" s="44"/>
      <c r="I101" s="44">
        <f>VLOOKUP($F$90,Tabisr,1)</f>
        <v>5081.01</v>
      </c>
      <c r="J101" s="46">
        <f>+F101-I101</f>
        <v>-397.11000000000058</v>
      </c>
      <c r="K101" s="47">
        <f>VLOOKUP($F$90,Tabisr,4)</f>
        <v>0.21360000000000001</v>
      </c>
      <c r="L101" s="44">
        <f>(F101-4244.01)*17.92%</f>
        <v>78.828287999999901</v>
      </c>
      <c r="M101" s="52">
        <v>388.05</v>
      </c>
      <c r="N101" s="44">
        <f>L101+M101</f>
        <v>466.87828799999988</v>
      </c>
      <c r="O101" s="44"/>
      <c r="P101" s="44"/>
      <c r="Q101" s="44"/>
      <c r="R101" s="44"/>
      <c r="S101" s="44"/>
      <c r="T101" s="48">
        <f>F101+G101+H101-N101+O101-P101-Q101-R101-S101</f>
        <v>4217.0217119999998</v>
      </c>
      <c r="U101" s="46">
        <f>T101-G101</f>
        <v>4217.0217119999998</v>
      </c>
    </row>
    <row r="102" spans="1:21" s="10" customFormat="1" x14ac:dyDescent="0.3">
      <c r="A102" s="24"/>
      <c r="B102" s="114"/>
      <c r="C102" s="115"/>
      <c r="D102" s="64"/>
      <c r="E102" s="64"/>
      <c r="F102" s="69">
        <f>+SUM(F99:F101)</f>
        <v>8637.2999999999993</v>
      </c>
      <c r="G102" s="69">
        <f>+SUM(G99:G101)</f>
        <v>0</v>
      </c>
      <c r="H102" s="69">
        <f t="shared" ref="H102:U102" si="36">+SUM(H99:H101)</f>
        <v>0</v>
      </c>
      <c r="I102" s="69">
        <f t="shared" si="36"/>
        <v>5390.79</v>
      </c>
      <c r="J102" s="69">
        <f t="shared" si="36"/>
        <v>-397.11000000000058</v>
      </c>
      <c r="K102" s="69">
        <f t="shared" si="36"/>
        <v>1050.2136</v>
      </c>
      <c r="L102" s="69">
        <f t="shared" si="36"/>
        <v>78.828287999999901</v>
      </c>
      <c r="M102" s="69">
        <f t="shared" si="36"/>
        <v>388.05</v>
      </c>
      <c r="N102" s="69">
        <f t="shared" si="36"/>
        <v>808.50828799999988</v>
      </c>
      <c r="O102" s="69">
        <f t="shared" si="36"/>
        <v>0</v>
      </c>
      <c r="P102" s="69">
        <f t="shared" si="36"/>
        <v>0</v>
      </c>
      <c r="Q102" s="69">
        <f t="shared" si="36"/>
        <v>0</v>
      </c>
      <c r="R102" s="69">
        <f t="shared" si="36"/>
        <v>0</v>
      </c>
      <c r="S102" s="69">
        <f t="shared" si="36"/>
        <v>0</v>
      </c>
      <c r="T102" s="69">
        <f t="shared" si="36"/>
        <v>7828.7917120000002</v>
      </c>
      <c r="U102" s="69">
        <f t="shared" si="36"/>
        <v>7828.7917120000002</v>
      </c>
    </row>
    <row r="103" spans="1:21" s="10" customFormat="1" x14ac:dyDescent="0.3">
      <c r="A103" s="24"/>
      <c r="B103" s="114"/>
      <c r="C103" s="115"/>
      <c r="D103" s="64"/>
      <c r="E103" s="64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s="10" customFormat="1" ht="18" x14ac:dyDescent="0.3">
      <c r="A104" s="173" t="s">
        <v>363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s="10" customFormat="1" ht="33.75" customHeight="1" x14ac:dyDescent="0.3">
      <c r="A105" s="21" t="s">
        <v>69</v>
      </c>
      <c r="B105" s="21" t="s">
        <v>17</v>
      </c>
      <c r="C105" s="21" t="s">
        <v>84</v>
      </c>
      <c r="D105" s="21" t="s">
        <v>27</v>
      </c>
      <c r="E105" s="21" t="s">
        <v>19</v>
      </c>
      <c r="F105" s="21" t="s">
        <v>18</v>
      </c>
      <c r="G105" s="21" t="s">
        <v>66</v>
      </c>
      <c r="H105" s="21" t="s">
        <v>74</v>
      </c>
      <c r="I105" s="37" t="s">
        <v>188</v>
      </c>
      <c r="J105" s="37" t="s">
        <v>189</v>
      </c>
      <c r="K105" s="37" t="s">
        <v>190</v>
      </c>
      <c r="L105" s="37" t="s">
        <v>191</v>
      </c>
      <c r="M105" s="21" t="s">
        <v>192</v>
      </c>
      <c r="N105" s="21" t="s">
        <v>67</v>
      </c>
      <c r="O105" s="21" t="s">
        <v>68</v>
      </c>
      <c r="P105" s="21" t="s">
        <v>20</v>
      </c>
      <c r="Q105" s="21" t="s">
        <v>299</v>
      </c>
      <c r="R105" s="21" t="s">
        <v>72</v>
      </c>
      <c r="S105" s="21" t="s">
        <v>82</v>
      </c>
      <c r="T105" s="21" t="s">
        <v>80</v>
      </c>
      <c r="U105" s="21" t="s">
        <v>81</v>
      </c>
    </row>
    <row r="106" spans="1:21" s="12" customFormat="1" x14ac:dyDescent="0.3">
      <c r="A106" s="22">
        <v>49</v>
      </c>
      <c r="B106" s="14" t="s">
        <v>134</v>
      </c>
      <c r="C106" s="113" t="s">
        <v>354</v>
      </c>
      <c r="D106" s="43">
        <v>15</v>
      </c>
      <c r="E106" s="52">
        <v>661.33</v>
      </c>
      <c r="F106" s="52">
        <f>D106*E106</f>
        <v>9919.9500000000007</v>
      </c>
      <c r="G106" s="40"/>
      <c r="H106" s="40"/>
      <c r="I106" s="52">
        <v>5081</v>
      </c>
      <c r="J106" s="48">
        <f>+F106-I106</f>
        <v>4838.9500000000007</v>
      </c>
      <c r="K106" s="53">
        <v>0.21360000000000001</v>
      </c>
      <c r="L106" s="52">
        <f>(F106-5081.01)*21.36%</f>
        <v>1033.5975840000001</v>
      </c>
      <c r="M106" s="52">
        <v>538.20000000000005</v>
      </c>
      <c r="N106" s="52">
        <f>L106+M106</f>
        <v>1571.7975840000001</v>
      </c>
      <c r="O106" s="52">
        <f>VLOOKUP($F$90,Tabsub,3)</f>
        <v>0</v>
      </c>
      <c r="P106" s="40"/>
      <c r="Q106" s="40"/>
      <c r="R106" s="40"/>
      <c r="S106" s="40"/>
      <c r="T106" s="48">
        <f>F106+G106+H106-N106+O106-P106-Q106-R106-S106</f>
        <v>8348.1524160000008</v>
      </c>
      <c r="U106" s="48">
        <f>T106-G106</f>
        <v>8348.1524160000008</v>
      </c>
    </row>
    <row r="107" spans="1:21" s="10" customFormat="1" ht="21" customHeight="1" x14ac:dyDescent="0.3">
      <c r="A107" s="22">
        <v>50</v>
      </c>
      <c r="B107" s="14" t="s">
        <v>199</v>
      </c>
      <c r="C107" s="14" t="s">
        <v>133</v>
      </c>
      <c r="D107" s="43">
        <v>15</v>
      </c>
      <c r="E107" s="52">
        <v>414.83</v>
      </c>
      <c r="F107" s="52">
        <f>D107*E107</f>
        <v>6222.45</v>
      </c>
      <c r="G107" s="52"/>
      <c r="H107" s="63"/>
      <c r="I107" s="52">
        <f>VLOOKUP($F$209,Tabisr,1)</f>
        <v>5081.01</v>
      </c>
      <c r="J107" s="48">
        <f>+F107-I107</f>
        <v>1141.4399999999996</v>
      </c>
      <c r="K107" s="53">
        <f>VLOOKUP($F$209,Tabisr,4)</f>
        <v>0.21360000000000001</v>
      </c>
      <c r="L107" s="52">
        <f>+J107*K107</f>
        <v>243.81158399999993</v>
      </c>
      <c r="M107" s="52">
        <f>VLOOKUP($F$209,Tabisr,3)</f>
        <v>538.20000000000005</v>
      </c>
      <c r="N107" s="40">
        <f>+L107+M107</f>
        <v>782.01158399999997</v>
      </c>
      <c r="O107" s="52"/>
      <c r="P107" s="52"/>
      <c r="Q107" s="52"/>
      <c r="R107" s="52"/>
      <c r="S107" s="52"/>
      <c r="T107" s="48">
        <f>F107+G107+H107-N107+O107-P107-Q107-R107-S107</f>
        <v>5440.438416</v>
      </c>
      <c r="U107" s="48">
        <f>T107-G107</f>
        <v>5440.438416</v>
      </c>
    </row>
    <row r="108" spans="1:21" s="10" customFormat="1" x14ac:dyDescent="0.3">
      <c r="A108" s="22">
        <v>51</v>
      </c>
      <c r="B108" s="14" t="s">
        <v>21</v>
      </c>
      <c r="C108" s="15" t="s">
        <v>362</v>
      </c>
      <c r="D108" s="43">
        <v>15</v>
      </c>
      <c r="E108" s="52">
        <v>312.26</v>
      </c>
      <c r="F108" s="52">
        <f>D108*E108</f>
        <v>4683.8999999999996</v>
      </c>
      <c r="G108" s="52"/>
      <c r="H108" s="22"/>
      <c r="I108" s="52">
        <f>VLOOKUP($F$90,Tabisr,1)</f>
        <v>5081.01</v>
      </c>
      <c r="J108" s="48">
        <f>+F108-I108</f>
        <v>-397.11000000000058</v>
      </c>
      <c r="K108" s="53">
        <f>VLOOKUP($F$90,Tabisr,4)</f>
        <v>0.21360000000000001</v>
      </c>
      <c r="L108" s="52">
        <f>(F108-4244.01)*17.92%</f>
        <v>78.828287999999901</v>
      </c>
      <c r="M108" s="52">
        <v>388.05</v>
      </c>
      <c r="N108" s="52">
        <f>L108+M108</f>
        <v>466.87828799999988</v>
      </c>
      <c r="O108" s="52"/>
      <c r="P108" s="22"/>
      <c r="Q108" s="22"/>
      <c r="R108" s="22"/>
      <c r="S108" s="25"/>
      <c r="T108" s="48">
        <f>F108+G108+H108-N108+O108-P108-Q108-R108-S108</f>
        <v>4217.0217119999998</v>
      </c>
      <c r="U108" s="48">
        <f>T108-G108</f>
        <v>4217.0217119999998</v>
      </c>
    </row>
    <row r="109" spans="1:21" s="10" customFormat="1" x14ac:dyDescent="0.3">
      <c r="A109" s="24"/>
      <c r="B109" s="114"/>
      <c r="C109" s="115"/>
      <c r="D109" s="64"/>
      <c r="E109" s="64"/>
      <c r="F109" s="65">
        <f>+SUM(F106:F108)</f>
        <v>20826.300000000003</v>
      </c>
      <c r="G109" s="65">
        <f>+SUM(G106:G108)</f>
        <v>0</v>
      </c>
      <c r="H109" s="65">
        <f t="shared" ref="H109:P109" si="37">+SUM(H107:H108)</f>
        <v>0</v>
      </c>
      <c r="I109" s="65">
        <f t="shared" si="37"/>
        <v>10162.02</v>
      </c>
      <c r="J109" s="65">
        <f t="shared" si="37"/>
        <v>744.32999999999902</v>
      </c>
      <c r="K109" s="65">
        <f t="shared" si="37"/>
        <v>0.42720000000000002</v>
      </c>
      <c r="L109" s="65">
        <f t="shared" si="37"/>
        <v>322.63987199999985</v>
      </c>
      <c r="M109" s="65">
        <f t="shared" si="37"/>
        <v>926.25</v>
      </c>
      <c r="N109" s="65">
        <f>+SUM(N106:N108)</f>
        <v>2820.6874560000001</v>
      </c>
      <c r="O109" s="65">
        <f t="shared" si="37"/>
        <v>0</v>
      </c>
      <c r="P109" s="65">
        <f t="shared" si="37"/>
        <v>0</v>
      </c>
      <c r="Q109" s="65">
        <f>SUM(Q108)</f>
        <v>0</v>
      </c>
      <c r="R109" s="65">
        <f>+SUM(R106:R108)</f>
        <v>0</v>
      </c>
      <c r="S109" s="65">
        <f>+SUM(S106:S108)</f>
        <v>0</v>
      </c>
      <c r="T109" s="65">
        <f>+SUM(T106:T108)</f>
        <v>18005.612544000003</v>
      </c>
      <c r="U109" s="65">
        <f>+SUM(U106:U108)</f>
        <v>18005.612544000003</v>
      </c>
    </row>
    <row r="110" spans="1:21" s="10" customFormat="1" x14ac:dyDescent="0.3">
      <c r="A110" s="24"/>
      <c r="B110" s="114"/>
      <c r="C110" s="115"/>
      <c r="D110" s="64"/>
      <c r="E110" s="64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</row>
    <row r="111" spans="1:21" s="10" customFormat="1" ht="18" x14ac:dyDescent="0.3">
      <c r="A111" s="173" t="s">
        <v>253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s="10" customFormat="1" ht="31.5" customHeight="1" x14ac:dyDescent="0.3">
      <c r="A112" s="21" t="s">
        <v>69</v>
      </c>
      <c r="B112" s="21" t="s">
        <v>17</v>
      </c>
      <c r="C112" s="21" t="s">
        <v>84</v>
      </c>
      <c r="D112" s="21" t="s">
        <v>27</v>
      </c>
      <c r="E112" s="21" t="s">
        <v>19</v>
      </c>
      <c r="F112" s="21" t="s">
        <v>18</v>
      </c>
      <c r="G112" s="21" t="s">
        <v>66</v>
      </c>
      <c r="H112" s="21" t="s">
        <v>74</v>
      </c>
      <c r="I112" s="37" t="s">
        <v>188</v>
      </c>
      <c r="J112" s="37" t="s">
        <v>189</v>
      </c>
      <c r="K112" s="37" t="s">
        <v>190</v>
      </c>
      <c r="L112" s="37" t="s">
        <v>191</v>
      </c>
      <c r="M112" s="21" t="s">
        <v>192</v>
      </c>
      <c r="N112" s="21" t="s">
        <v>67</v>
      </c>
      <c r="O112" s="21" t="s">
        <v>68</v>
      </c>
      <c r="P112" s="21" t="s">
        <v>20</v>
      </c>
      <c r="Q112" s="21" t="s">
        <v>299</v>
      </c>
      <c r="R112" s="21" t="s">
        <v>72</v>
      </c>
      <c r="S112" s="21" t="s">
        <v>82</v>
      </c>
      <c r="T112" s="21" t="s">
        <v>80</v>
      </c>
      <c r="U112" s="21" t="s">
        <v>81</v>
      </c>
    </row>
    <row r="113" spans="1:21" s="10" customFormat="1" x14ac:dyDescent="0.3">
      <c r="A113" s="22">
        <v>52</v>
      </c>
      <c r="B113" s="14" t="s">
        <v>45</v>
      </c>
      <c r="C113" s="113" t="s">
        <v>91</v>
      </c>
      <c r="D113" s="43">
        <v>15</v>
      </c>
      <c r="E113" s="52">
        <v>312.26</v>
      </c>
      <c r="F113" s="52">
        <f t="shared" ref="F113:F118" si="38">D113*E113</f>
        <v>4683.8999999999996</v>
      </c>
      <c r="G113" s="40"/>
      <c r="H113" s="40"/>
      <c r="I113" s="52">
        <f>VLOOKUP($F$90,Tabisr,1)</f>
        <v>5081.01</v>
      </c>
      <c r="J113" s="48">
        <f>+F113-I113</f>
        <v>-397.11000000000058</v>
      </c>
      <c r="K113" s="53">
        <f>VLOOKUP($F$90,Tabisr,4)</f>
        <v>0.21360000000000001</v>
      </c>
      <c r="L113" s="52">
        <f>(F113-4244.01)*17.92%</f>
        <v>78.828287999999901</v>
      </c>
      <c r="M113" s="52">
        <v>388.05</v>
      </c>
      <c r="N113" s="52">
        <f>L113+M113</f>
        <v>466.87828799999988</v>
      </c>
      <c r="O113" s="52">
        <f>VLOOKUP($F$90,Tabsub,3)</f>
        <v>0</v>
      </c>
      <c r="P113" s="40"/>
      <c r="Q113" s="40"/>
      <c r="R113" s="40"/>
      <c r="S113" s="40"/>
      <c r="T113" s="48">
        <f t="shared" ref="T113:T118" si="39">F113+G113+H113-N113+O113-P113-Q113-R113-S113</f>
        <v>4217.0217119999998</v>
      </c>
      <c r="U113" s="48">
        <f t="shared" ref="U113:U118" si="40">T113-G113</f>
        <v>4217.0217119999998</v>
      </c>
    </row>
    <row r="114" spans="1:21" s="10" customFormat="1" x14ac:dyDescent="0.3">
      <c r="A114" s="23">
        <v>53</v>
      </c>
      <c r="B114" s="14" t="s">
        <v>129</v>
      </c>
      <c r="C114" s="108" t="s">
        <v>86</v>
      </c>
      <c r="D114" s="43">
        <v>15</v>
      </c>
      <c r="E114" s="70">
        <v>263.56</v>
      </c>
      <c r="F114" s="44">
        <f t="shared" si="38"/>
        <v>3953.4</v>
      </c>
      <c r="G114" s="44"/>
      <c r="H114" s="23"/>
      <c r="I114" s="44">
        <f>VLOOKUP($F$28,Tabisr,1)</f>
        <v>3651.01</v>
      </c>
      <c r="J114" s="46">
        <f>+F114-I114</f>
        <v>302.38999999999987</v>
      </c>
      <c r="K114" s="47">
        <f>VLOOKUP($F$28,Tabisr,4)</f>
        <v>0.16</v>
      </c>
      <c r="L114" s="44">
        <f>(F114-3651.01)*16%</f>
        <v>48.382399999999983</v>
      </c>
      <c r="M114" s="44">
        <v>293.25</v>
      </c>
      <c r="N114" s="44">
        <f>M114+L114</f>
        <v>341.63239999999996</v>
      </c>
      <c r="O114" s="44"/>
      <c r="P114" s="52"/>
      <c r="Q114" s="52"/>
      <c r="R114" s="44"/>
      <c r="S114" s="44"/>
      <c r="T114" s="48">
        <f t="shared" si="39"/>
        <v>3611.7676000000001</v>
      </c>
      <c r="U114" s="48">
        <f t="shared" si="40"/>
        <v>3611.7676000000001</v>
      </c>
    </row>
    <row r="115" spans="1:21" s="12" customFormat="1" x14ac:dyDescent="0.3">
      <c r="A115" s="22">
        <v>54</v>
      </c>
      <c r="B115" s="14" t="s">
        <v>141</v>
      </c>
      <c r="C115" s="14" t="s">
        <v>109</v>
      </c>
      <c r="D115" s="43">
        <v>15</v>
      </c>
      <c r="E115" s="67">
        <v>263.56</v>
      </c>
      <c r="F115" s="52">
        <f t="shared" si="38"/>
        <v>3953.4</v>
      </c>
      <c r="G115" s="52"/>
      <c r="H115" s="52"/>
      <c r="I115" s="52">
        <f>VLOOKUP($F$28,Tabisr,1)</f>
        <v>3651.01</v>
      </c>
      <c r="J115" s="48">
        <f>+F115-I115</f>
        <v>302.38999999999987</v>
      </c>
      <c r="K115" s="53">
        <f>VLOOKUP($F$28,Tabisr,4)</f>
        <v>0.16</v>
      </c>
      <c r="L115" s="52">
        <f>(F115-3651.01)*16%</f>
        <v>48.382399999999983</v>
      </c>
      <c r="M115" s="52">
        <v>293.25</v>
      </c>
      <c r="N115" s="52">
        <f>M115+L115</f>
        <v>341.63239999999996</v>
      </c>
      <c r="O115" s="52"/>
      <c r="P115" s="52"/>
      <c r="Q115" s="52"/>
      <c r="R115" s="52"/>
      <c r="S115" s="52"/>
      <c r="T115" s="48">
        <f t="shared" si="39"/>
        <v>3611.7676000000001</v>
      </c>
      <c r="U115" s="48">
        <f t="shared" si="40"/>
        <v>3611.7676000000001</v>
      </c>
    </row>
    <row r="116" spans="1:21" s="10" customFormat="1" x14ac:dyDescent="0.3">
      <c r="A116" s="23">
        <v>55</v>
      </c>
      <c r="B116" s="14" t="s">
        <v>22</v>
      </c>
      <c r="C116" s="109" t="s">
        <v>109</v>
      </c>
      <c r="D116" s="43">
        <v>15</v>
      </c>
      <c r="E116" s="70">
        <v>263.56</v>
      </c>
      <c r="F116" s="44">
        <f t="shared" si="38"/>
        <v>3953.4</v>
      </c>
      <c r="G116" s="44"/>
      <c r="H116" s="44"/>
      <c r="I116" s="44">
        <f>VLOOKUP($F$28,Tabisr,1)</f>
        <v>3651.01</v>
      </c>
      <c r="J116" s="46">
        <f>+F116-I116</f>
        <v>302.38999999999987</v>
      </c>
      <c r="K116" s="47">
        <f>VLOOKUP($F$28,Tabisr,4)</f>
        <v>0.16</v>
      </c>
      <c r="L116" s="44">
        <f>(F116-3651.01)*16%</f>
        <v>48.382399999999983</v>
      </c>
      <c r="M116" s="44">
        <v>293.25</v>
      </c>
      <c r="N116" s="44">
        <f>M116+L116</f>
        <v>341.63239999999996</v>
      </c>
      <c r="O116" s="44"/>
      <c r="P116" s="44"/>
      <c r="Q116" s="44"/>
      <c r="R116" s="44"/>
      <c r="S116" s="44"/>
      <c r="T116" s="48">
        <f t="shared" si="39"/>
        <v>3611.7676000000001</v>
      </c>
      <c r="U116" s="48">
        <f t="shared" si="40"/>
        <v>3611.7676000000001</v>
      </c>
    </row>
    <row r="117" spans="1:21" s="10" customFormat="1" x14ac:dyDescent="0.3">
      <c r="A117" s="22">
        <v>56</v>
      </c>
      <c r="B117" s="14" t="s">
        <v>16</v>
      </c>
      <c r="C117" s="109" t="s">
        <v>109</v>
      </c>
      <c r="D117" s="43">
        <v>15</v>
      </c>
      <c r="E117" s="44">
        <v>263.56</v>
      </c>
      <c r="F117" s="44">
        <f t="shared" si="38"/>
        <v>3953.4</v>
      </c>
      <c r="G117" s="44"/>
      <c r="H117" s="44"/>
      <c r="I117" s="44">
        <f>VLOOKUP($F$290,Tabisr,1)</f>
        <v>3651.01</v>
      </c>
      <c r="J117" s="46">
        <f>+F117-I117</f>
        <v>302.38999999999987</v>
      </c>
      <c r="K117" s="47">
        <f>VLOOKUP($F$290,Tabisr,4)</f>
        <v>0.16</v>
      </c>
      <c r="L117" s="44">
        <f>(F117-3651.01)*16%</f>
        <v>48.382399999999983</v>
      </c>
      <c r="M117" s="44">
        <v>293.25</v>
      </c>
      <c r="N117" s="44">
        <f>M117+L117</f>
        <v>341.63239999999996</v>
      </c>
      <c r="O117" s="44"/>
      <c r="P117" s="45"/>
      <c r="Q117" s="45"/>
      <c r="R117" s="45"/>
      <c r="S117" s="45"/>
      <c r="T117" s="48">
        <f t="shared" si="39"/>
        <v>3611.7676000000001</v>
      </c>
      <c r="U117" s="48">
        <f t="shared" si="40"/>
        <v>3611.7676000000001</v>
      </c>
    </row>
    <row r="118" spans="1:21" s="10" customFormat="1" x14ac:dyDescent="0.3">
      <c r="A118" s="23">
        <v>57</v>
      </c>
      <c r="B118" s="14" t="s">
        <v>13</v>
      </c>
      <c r="C118" s="108" t="s">
        <v>93</v>
      </c>
      <c r="D118" s="43">
        <v>15</v>
      </c>
      <c r="E118" s="70">
        <v>220.28</v>
      </c>
      <c r="F118" s="44">
        <f t="shared" si="38"/>
        <v>3304.2</v>
      </c>
      <c r="G118" s="44"/>
      <c r="H118" s="23"/>
      <c r="I118" s="44">
        <v>2077.5100000000002</v>
      </c>
      <c r="J118" s="46">
        <v>121.95</v>
      </c>
      <c r="K118" s="47">
        <v>0.10879999999999999</v>
      </c>
      <c r="L118" s="44">
        <f>(F118-2077.51)*10.88%</f>
        <v>133.46387199999995</v>
      </c>
      <c r="M118" s="52">
        <v>121.95</v>
      </c>
      <c r="N118" s="44">
        <f>L118+M118</f>
        <v>255.41387199999997</v>
      </c>
      <c r="O118" s="44">
        <v>125.1</v>
      </c>
      <c r="P118" s="44"/>
      <c r="Q118" s="44"/>
      <c r="R118" s="44"/>
      <c r="S118" s="44"/>
      <c r="T118" s="48">
        <f t="shared" si="39"/>
        <v>3173.8861279999996</v>
      </c>
      <c r="U118" s="48">
        <f t="shared" si="40"/>
        <v>3173.8861279999996</v>
      </c>
    </row>
    <row r="119" spans="1:21" s="10" customFormat="1" x14ac:dyDescent="0.3">
      <c r="A119" s="24"/>
      <c r="B119" s="114"/>
      <c r="C119" s="115"/>
      <c r="D119" s="64"/>
      <c r="E119" s="64"/>
      <c r="F119" s="65">
        <f>+SUM(F113:F118)</f>
        <v>23801.7</v>
      </c>
      <c r="G119" s="65">
        <f>+SUM(G113:G118)</f>
        <v>0</v>
      </c>
      <c r="H119" s="65">
        <f t="shared" ref="H119:M119" si="41">+SUM(H113:H118)</f>
        <v>0</v>
      </c>
      <c r="I119" s="65">
        <f t="shared" si="41"/>
        <v>21762.560000000005</v>
      </c>
      <c r="J119" s="65">
        <f t="shared" si="41"/>
        <v>934.39999999999895</v>
      </c>
      <c r="K119" s="65">
        <f t="shared" si="41"/>
        <v>0.96240000000000014</v>
      </c>
      <c r="L119" s="65">
        <f t="shared" si="41"/>
        <v>405.82175999999981</v>
      </c>
      <c r="M119" s="65">
        <f t="shared" si="41"/>
        <v>1683</v>
      </c>
      <c r="N119" s="65">
        <f t="shared" ref="N119:U119" si="42">+SUM(N113:N118)</f>
        <v>2088.8217599999998</v>
      </c>
      <c r="O119" s="65">
        <f t="shared" si="42"/>
        <v>125.1</v>
      </c>
      <c r="P119" s="65">
        <f t="shared" si="42"/>
        <v>0</v>
      </c>
      <c r="Q119" s="65">
        <f t="shared" si="42"/>
        <v>0</v>
      </c>
      <c r="R119" s="65">
        <f t="shared" si="42"/>
        <v>0</v>
      </c>
      <c r="S119" s="65">
        <f t="shared" si="42"/>
        <v>0</v>
      </c>
      <c r="T119" s="65">
        <f t="shared" si="42"/>
        <v>21837.978239999997</v>
      </c>
      <c r="U119" s="65">
        <f t="shared" si="42"/>
        <v>21837.978239999997</v>
      </c>
    </row>
    <row r="120" spans="1:21" s="10" customFormat="1" x14ac:dyDescent="0.3">
      <c r="A120" s="24"/>
      <c r="B120" s="114"/>
      <c r="C120" s="115"/>
      <c r="D120" s="64"/>
      <c r="E120" s="64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1:21" s="10" customFormat="1" x14ac:dyDescent="0.3">
      <c r="A121" s="24"/>
      <c r="B121" s="114"/>
      <c r="C121" s="115"/>
      <c r="D121" s="64"/>
      <c r="E121" s="64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1:21" s="10" customFormat="1" x14ac:dyDescent="0.3">
      <c r="A122" s="24"/>
      <c r="B122" s="114"/>
      <c r="C122" s="115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s="10" customFormat="1" ht="18" x14ac:dyDescent="0.3">
      <c r="A123" s="173" t="s">
        <v>254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s="10" customFormat="1" ht="32.25" customHeight="1" x14ac:dyDescent="0.3">
      <c r="A124" s="21" t="s">
        <v>69</v>
      </c>
      <c r="B124" s="21" t="s">
        <v>17</v>
      </c>
      <c r="C124" s="21" t="s">
        <v>84</v>
      </c>
      <c r="D124" s="21" t="s">
        <v>27</v>
      </c>
      <c r="E124" s="21" t="s">
        <v>19</v>
      </c>
      <c r="F124" s="21" t="s">
        <v>18</v>
      </c>
      <c r="G124" s="21" t="s">
        <v>66</v>
      </c>
      <c r="H124" s="21" t="s">
        <v>74</v>
      </c>
      <c r="I124" s="37" t="s">
        <v>188</v>
      </c>
      <c r="J124" s="37" t="s">
        <v>189</v>
      </c>
      <c r="K124" s="37" t="s">
        <v>190</v>
      </c>
      <c r="L124" s="37" t="s">
        <v>191</v>
      </c>
      <c r="M124" s="21" t="s">
        <v>192</v>
      </c>
      <c r="N124" s="21" t="s">
        <v>67</v>
      </c>
      <c r="O124" s="21" t="s">
        <v>68</v>
      </c>
      <c r="P124" s="21" t="s">
        <v>20</v>
      </c>
      <c r="Q124" s="21" t="s">
        <v>299</v>
      </c>
      <c r="R124" s="21" t="s">
        <v>72</v>
      </c>
      <c r="S124" s="21" t="s">
        <v>82</v>
      </c>
      <c r="T124" s="21" t="s">
        <v>80</v>
      </c>
      <c r="U124" s="21" t="s">
        <v>81</v>
      </c>
    </row>
    <row r="125" spans="1:21" s="10" customFormat="1" ht="23.25" customHeight="1" x14ac:dyDescent="0.3">
      <c r="A125" s="22">
        <v>58</v>
      </c>
      <c r="B125" s="14" t="s">
        <v>23</v>
      </c>
      <c r="C125" s="14" t="s">
        <v>279</v>
      </c>
      <c r="D125" s="43">
        <v>15</v>
      </c>
      <c r="E125" s="52">
        <v>661.33</v>
      </c>
      <c r="F125" s="52">
        <f t="shared" ref="F125:F131" si="43">D125*E125</f>
        <v>9919.9500000000007</v>
      </c>
      <c r="G125" s="40"/>
      <c r="H125" s="40"/>
      <c r="I125" s="52">
        <v>5081</v>
      </c>
      <c r="J125" s="48">
        <f t="shared" ref="J125:J131" si="44">+F125-I125</f>
        <v>4838.9500000000007</v>
      </c>
      <c r="K125" s="53">
        <v>0.21360000000000001</v>
      </c>
      <c r="L125" s="52">
        <f>(F125-5081.01)*21.36%</f>
        <v>1033.5975840000001</v>
      </c>
      <c r="M125" s="52">
        <v>538.20000000000005</v>
      </c>
      <c r="N125" s="52">
        <f>L125+M125</f>
        <v>1571.7975840000001</v>
      </c>
      <c r="O125" s="52"/>
      <c r="P125" s="40"/>
      <c r="Q125" s="40"/>
      <c r="R125" s="40"/>
      <c r="S125" s="40"/>
      <c r="T125" s="48">
        <f t="shared" ref="T125:T131" si="45">F125+G125+H125-N125+O125-P125-Q125-R125-S125</f>
        <v>8348.1524160000008</v>
      </c>
      <c r="U125" s="48">
        <f t="shared" ref="U125:U131" si="46">T125-G125</f>
        <v>8348.1524160000008</v>
      </c>
    </row>
    <row r="126" spans="1:21" s="12" customFormat="1" ht="20.399999999999999" x14ac:dyDescent="0.3">
      <c r="A126" s="27">
        <v>59</v>
      </c>
      <c r="B126" s="14" t="s">
        <v>311</v>
      </c>
      <c r="C126" s="14" t="s">
        <v>319</v>
      </c>
      <c r="D126" s="43">
        <v>15</v>
      </c>
      <c r="E126" s="52">
        <v>414.83</v>
      </c>
      <c r="F126" s="52">
        <f t="shared" si="43"/>
        <v>6222.45</v>
      </c>
      <c r="G126" s="40"/>
      <c r="H126" s="40"/>
      <c r="I126" s="52">
        <f>VLOOKUP($F$209,Tabisr,1)</f>
        <v>5081.01</v>
      </c>
      <c r="J126" s="48">
        <f t="shared" si="44"/>
        <v>1141.4399999999996</v>
      </c>
      <c r="K126" s="53">
        <f>VLOOKUP($F$209,Tabisr,4)</f>
        <v>0.21360000000000001</v>
      </c>
      <c r="L126" s="52">
        <f>+J126*K126</f>
        <v>243.81158399999993</v>
      </c>
      <c r="M126" s="52">
        <f>VLOOKUP($F$209,Tabisr,3)</f>
        <v>538.20000000000005</v>
      </c>
      <c r="N126" s="52">
        <f>+L126+M126</f>
        <v>782.01158399999997</v>
      </c>
      <c r="O126" s="52"/>
      <c r="P126" s="40"/>
      <c r="Q126" s="40"/>
      <c r="R126" s="40"/>
      <c r="S126" s="40"/>
      <c r="T126" s="48">
        <f t="shared" si="45"/>
        <v>5440.438416</v>
      </c>
      <c r="U126" s="48">
        <f t="shared" si="46"/>
        <v>5440.438416</v>
      </c>
    </row>
    <row r="127" spans="1:21" s="10" customFormat="1" ht="20.25" customHeight="1" x14ac:dyDescent="0.3">
      <c r="A127" s="22">
        <v>60</v>
      </c>
      <c r="B127" s="14" t="s">
        <v>383</v>
      </c>
      <c r="C127" s="14" t="s">
        <v>365</v>
      </c>
      <c r="D127" s="43">
        <v>15</v>
      </c>
      <c r="E127" s="71">
        <v>264.52</v>
      </c>
      <c r="F127" s="52">
        <f t="shared" si="43"/>
        <v>3967.7999999999997</v>
      </c>
      <c r="G127" s="40"/>
      <c r="H127" s="40"/>
      <c r="I127" s="52">
        <v>5083</v>
      </c>
      <c r="J127" s="48">
        <f t="shared" si="44"/>
        <v>-1115.2000000000003</v>
      </c>
      <c r="K127" s="53">
        <v>2.2136</v>
      </c>
      <c r="L127" s="52">
        <f>(F127-5081.01)*21.36%</f>
        <v>-237.78165600000008</v>
      </c>
      <c r="M127" s="52">
        <v>540.20000000000005</v>
      </c>
      <c r="N127" s="52">
        <f>L127+M127</f>
        <v>302.41834399999993</v>
      </c>
      <c r="O127" s="52"/>
      <c r="P127" s="40"/>
      <c r="Q127" s="40"/>
      <c r="R127" s="40"/>
      <c r="S127" s="40"/>
      <c r="T127" s="48">
        <f t="shared" si="45"/>
        <v>3665.3816559999996</v>
      </c>
      <c r="U127" s="48">
        <f t="shared" si="46"/>
        <v>3665.3816559999996</v>
      </c>
    </row>
    <row r="128" spans="1:21" s="10" customFormat="1" ht="24" customHeight="1" x14ac:dyDescent="0.3">
      <c r="A128" s="27">
        <v>61</v>
      </c>
      <c r="B128" s="14" t="s">
        <v>384</v>
      </c>
      <c r="C128" s="14" t="s">
        <v>385</v>
      </c>
      <c r="D128" s="43">
        <v>15</v>
      </c>
      <c r="E128" s="71">
        <v>264.52</v>
      </c>
      <c r="F128" s="52">
        <f t="shared" si="43"/>
        <v>3967.7999999999997</v>
      </c>
      <c r="G128" s="40"/>
      <c r="H128" s="40"/>
      <c r="I128" s="52">
        <v>5083</v>
      </c>
      <c r="J128" s="48">
        <f t="shared" si="44"/>
        <v>-1115.2000000000003</v>
      </c>
      <c r="K128" s="53">
        <v>2.2136</v>
      </c>
      <c r="L128" s="52">
        <f>(F128-5081.01)*21.36%</f>
        <v>-237.78165600000008</v>
      </c>
      <c r="M128" s="52">
        <v>540.20000000000005</v>
      </c>
      <c r="N128" s="52">
        <f>L128+M128</f>
        <v>302.41834399999993</v>
      </c>
      <c r="O128" s="52"/>
      <c r="P128" s="40"/>
      <c r="Q128" s="40"/>
      <c r="R128" s="40"/>
      <c r="S128" s="40"/>
      <c r="T128" s="48">
        <f t="shared" si="45"/>
        <v>3665.3816559999996</v>
      </c>
      <c r="U128" s="48">
        <f t="shared" si="46"/>
        <v>3665.3816559999996</v>
      </c>
    </row>
    <row r="129" spans="1:21" s="10" customFormat="1" x14ac:dyDescent="0.3">
      <c r="A129" s="22">
        <v>62</v>
      </c>
      <c r="B129" s="14" t="s">
        <v>312</v>
      </c>
      <c r="C129" s="108" t="s">
        <v>313</v>
      </c>
      <c r="D129" s="43">
        <v>15</v>
      </c>
      <c r="E129" s="71">
        <v>264.52</v>
      </c>
      <c r="F129" s="52">
        <f t="shared" si="43"/>
        <v>3967.7999999999997</v>
      </c>
      <c r="G129" s="40"/>
      <c r="H129" s="40"/>
      <c r="I129" s="52">
        <v>5083</v>
      </c>
      <c r="J129" s="48">
        <f t="shared" si="44"/>
        <v>-1115.2000000000003</v>
      </c>
      <c r="K129" s="53">
        <v>2.2136</v>
      </c>
      <c r="L129" s="52">
        <f>(F129-5081.01)*21.36%</f>
        <v>-237.78165600000008</v>
      </c>
      <c r="M129" s="52">
        <v>540.20000000000005</v>
      </c>
      <c r="N129" s="52">
        <f>L129+M129</f>
        <v>302.41834399999993</v>
      </c>
      <c r="O129" s="52"/>
      <c r="P129" s="40"/>
      <c r="Q129" s="40"/>
      <c r="R129" s="40"/>
      <c r="S129" s="40"/>
      <c r="T129" s="48">
        <f t="shared" si="45"/>
        <v>3665.3816559999996</v>
      </c>
      <c r="U129" s="48">
        <f t="shared" si="46"/>
        <v>3665.3816559999996</v>
      </c>
    </row>
    <row r="130" spans="1:21" s="10" customFormat="1" x14ac:dyDescent="0.3">
      <c r="A130" s="27">
        <v>63</v>
      </c>
      <c r="B130" s="14" t="s">
        <v>315</v>
      </c>
      <c r="C130" s="108" t="s">
        <v>313</v>
      </c>
      <c r="D130" s="43">
        <v>15</v>
      </c>
      <c r="E130" s="52">
        <v>264.52</v>
      </c>
      <c r="F130" s="52">
        <f t="shared" si="43"/>
        <v>3967.7999999999997</v>
      </c>
      <c r="G130" s="40"/>
      <c r="H130" s="40"/>
      <c r="I130" s="52">
        <v>5084</v>
      </c>
      <c r="J130" s="48">
        <f t="shared" si="44"/>
        <v>-1116.2000000000003</v>
      </c>
      <c r="K130" s="53">
        <v>3.2136</v>
      </c>
      <c r="L130" s="52">
        <f>(F130-5081.01)*21.36%</f>
        <v>-237.78165600000008</v>
      </c>
      <c r="M130" s="52">
        <v>541.20000000000005</v>
      </c>
      <c r="N130" s="52">
        <f>L130+M130</f>
        <v>303.41834399999993</v>
      </c>
      <c r="O130" s="52"/>
      <c r="P130" s="40"/>
      <c r="Q130" s="40"/>
      <c r="R130" s="40"/>
      <c r="S130" s="40"/>
      <c r="T130" s="48">
        <f t="shared" si="45"/>
        <v>3664.3816559999996</v>
      </c>
      <c r="U130" s="48">
        <f t="shared" si="46"/>
        <v>3664.3816559999996</v>
      </c>
    </row>
    <row r="131" spans="1:21" s="10" customFormat="1" ht="21" customHeight="1" x14ac:dyDescent="0.3">
      <c r="A131" s="22">
        <v>64</v>
      </c>
      <c r="B131" s="14" t="s">
        <v>63</v>
      </c>
      <c r="C131" s="14" t="s">
        <v>365</v>
      </c>
      <c r="D131" s="43">
        <v>15</v>
      </c>
      <c r="E131" s="52">
        <v>264.52</v>
      </c>
      <c r="F131" s="52">
        <f t="shared" si="43"/>
        <v>3967.7999999999997</v>
      </c>
      <c r="G131" s="40"/>
      <c r="H131" s="40"/>
      <c r="I131" s="52">
        <v>5086</v>
      </c>
      <c r="J131" s="48">
        <f t="shared" si="44"/>
        <v>-1118.2000000000003</v>
      </c>
      <c r="K131" s="53">
        <v>5.2135999999999996</v>
      </c>
      <c r="L131" s="52">
        <f>(F131-5081.01)*21.36%</f>
        <v>-237.78165600000008</v>
      </c>
      <c r="M131" s="52">
        <v>543.20000000000005</v>
      </c>
      <c r="N131" s="52">
        <f>L131+M131</f>
        <v>305.41834399999993</v>
      </c>
      <c r="O131" s="52"/>
      <c r="P131" s="40"/>
      <c r="Q131" s="40"/>
      <c r="R131" s="40"/>
      <c r="S131" s="40"/>
      <c r="T131" s="48">
        <f t="shared" si="45"/>
        <v>3662.3816559999996</v>
      </c>
      <c r="U131" s="48">
        <f t="shared" si="46"/>
        <v>3662.3816559999996</v>
      </c>
    </row>
    <row r="132" spans="1:21" s="10" customFormat="1" x14ac:dyDescent="0.3">
      <c r="A132" s="24"/>
      <c r="B132" s="114"/>
      <c r="C132" s="115"/>
      <c r="D132" s="64"/>
      <c r="E132" s="64"/>
      <c r="F132" s="69">
        <f>SUM(F125:F131)</f>
        <v>35981.4</v>
      </c>
      <c r="G132" s="69">
        <f>SUM(G125:G131)</f>
        <v>0</v>
      </c>
      <c r="H132" s="69">
        <f t="shared" ref="H132:U132" si="47">SUM(H125:H131)</f>
        <v>0</v>
      </c>
      <c r="I132" s="69">
        <f t="shared" si="47"/>
        <v>35581.01</v>
      </c>
      <c r="J132" s="69">
        <f t="shared" si="47"/>
        <v>400.38999999999942</v>
      </c>
      <c r="K132" s="69">
        <f t="shared" si="47"/>
        <v>15.495199999999999</v>
      </c>
      <c r="L132" s="69">
        <f t="shared" si="47"/>
        <v>88.500887999999605</v>
      </c>
      <c r="M132" s="69">
        <f t="shared" si="47"/>
        <v>3781.3999999999996</v>
      </c>
      <c r="N132" s="69">
        <f t="shared" si="47"/>
        <v>3869.9008879999992</v>
      </c>
      <c r="O132" s="69">
        <f t="shared" si="47"/>
        <v>0</v>
      </c>
      <c r="P132" s="69">
        <f t="shared" si="47"/>
        <v>0</v>
      </c>
      <c r="Q132" s="69">
        <f t="shared" si="47"/>
        <v>0</v>
      </c>
      <c r="R132" s="69">
        <f t="shared" si="47"/>
        <v>0</v>
      </c>
      <c r="S132" s="69">
        <f t="shared" si="47"/>
        <v>0</v>
      </c>
      <c r="T132" s="69">
        <f t="shared" si="47"/>
        <v>32111.49911199999</v>
      </c>
      <c r="U132" s="69">
        <f t="shared" si="47"/>
        <v>32111.49911199999</v>
      </c>
    </row>
    <row r="133" spans="1:21" s="10" customFormat="1" x14ac:dyDescent="0.3">
      <c r="A133" s="24"/>
      <c r="B133" s="114"/>
      <c r="C133" s="115"/>
      <c r="D133" s="64"/>
      <c r="E133" s="64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s="10" customFormat="1" x14ac:dyDescent="0.3">
      <c r="A134" s="24"/>
      <c r="B134" s="114"/>
      <c r="C134" s="115"/>
      <c r="D134" s="64"/>
      <c r="E134" s="64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s="10" customFormat="1" x14ac:dyDescent="0.3">
      <c r="A135" s="24"/>
      <c r="B135" s="114"/>
      <c r="C135" s="115"/>
      <c r="D135" s="64"/>
      <c r="E135" s="64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s="10" customFormat="1" ht="18" x14ac:dyDescent="0.3">
      <c r="A136" s="173" t="s">
        <v>255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:21" s="10" customFormat="1" ht="35.25" customHeight="1" x14ac:dyDescent="0.3">
      <c r="A137" s="21" t="s">
        <v>69</v>
      </c>
      <c r="B137" s="21" t="s">
        <v>17</v>
      </c>
      <c r="C137" s="21" t="s">
        <v>84</v>
      </c>
      <c r="D137" s="21" t="s">
        <v>27</v>
      </c>
      <c r="E137" s="21" t="s">
        <v>19</v>
      </c>
      <c r="F137" s="21" t="s">
        <v>18</v>
      </c>
      <c r="G137" s="21" t="s">
        <v>66</v>
      </c>
      <c r="H137" s="21" t="s">
        <v>74</v>
      </c>
      <c r="I137" s="37" t="s">
        <v>188</v>
      </c>
      <c r="J137" s="37" t="s">
        <v>189</v>
      </c>
      <c r="K137" s="37" t="s">
        <v>190</v>
      </c>
      <c r="L137" s="37" t="s">
        <v>191</v>
      </c>
      <c r="M137" s="21" t="s">
        <v>192</v>
      </c>
      <c r="N137" s="21" t="s">
        <v>67</v>
      </c>
      <c r="O137" s="21" t="s">
        <v>68</v>
      </c>
      <c r="P137" s="21" t="s">
        <v>20</v>
      </c>
      <c r="Q137" s="21" t="s">
        <v>299</v>
      </c>
      <c r="R137" s="21" t="s">
        <v>72</v>
      </c>
      <c r="S137" s="21" t="s">
        <v>82</v>
      </c>
      <c r="T137" s="21" t="s">
        <v>80</v>
      </c>
      <c r="U137" s="21" t="s">
        <v>81</v>
      </c>
    </row>
    <row r="138" spans="1:21" s="10" customFormat="1" x14ac:dyDescent="0.3">
      <c r="A138" s="22">
        <v>65</v>
      </c>
      <c r="B138" s="14" t="s">
        <v>1</v>
      </c>
      <c r="C138" s="15" t="s">
        <v>194</v>
      </c>
      <c r="D138" s="43">
        <v>15</v>
      </c>
      <c r="E138" s="52">
        <v>661.33</v>
      </c>
      <c r="F138" s="52">
        <f t="shared" ref="F138:F145" si="48">D138*E138</f>
        <v>9919.9500000000007</v>
      </c>
      <c r="G138" s="52"/>
      <c r="H138" s="22"/>
      <c r="I138" s="52">
        <f>VLOOKUP($F$138,Tabisr,1)</f>
        <v>5081.01</v>
      </c>
      <c r="J138" s="48">
        <f>+F138-I138</f>
        <v>4838.9400000000005</v>
      </c>
      <c r="K138" s="53">
        <f>VLOOKUP($F$138,Tabisr,4)</f>
        <v>0.21360000000000001</v>
      </c>
      <c r="L138" s="52">
        <f>(F138-5081.01)*21.36%</f>
        <v>1033.5975840000001</v>
      </c>
      <c r="M138" s="52">
        <v>538.20000000000005</v>
      </c>
      <c r="N138" s="52">
        <f>L138+M138</f>
        <v>1571.7975840000001</v>
      </c>
      <c r="O138" s="52">
        <f>VLOOKUP($F$138,Tabsub,3)</f>
        <v>0</v>
      </c>
      <c r="P138" s="52"/>
      <c r="Q138" s="52"/>
      <c r="R138" s="52"/>
      <c r="S138" s="52"/>
      <c r="T138" s="48">
        <f>F138+G138+H138-N138+O138-P138-Q138-R138-S138</f>
        <v>8348.1524160000008</v>
      </c>
      <c r="U138" s="48">
        <f>T138-G138</f>
        <v>8348.1524160000008</v>
      </c>
    </row>
    <row r="139" spans="1:21" s="12" customFormat="1" x14ac:dyDescent="0.3">
      <c r="A139" s="22">
        <v>66</v>
      </c>
      <c r="B139" s="14" t="s">
        <v>275</v>
      </c>
      <c r="C139" s="14" t="s">
        <v>92</v>
      </c>
      <c r="D139" s="43">
        <v>15</v>
      </c>
      <c r="E139" s="67">
        <v>263.56</v>
      </c>
      <c r="F139" s="52">
        <f t="shared" si="48"/>
        <v>3953.4</v>
      </c>
      <c r="G139" s="52"/>
      <c r="H139" s="22"/>
      <c r="I139" s="52">
        <f t="shared" ref="I139:I145" si="49">VLOOKUP($F$28,Tabisr,1)</f>
        <v>3651.01</v>
      </c>
      <c r="J139" s="48">
        <f>+F139-I139</f>
        <v>302.38999999999987</v>
      </c>
      <c r="K139" s="53">
        <f t="shared" ref="K139:K145" si="50">VLOOKUP($F$28,Tabisr,4)</f>
        <v>0.16</v>
      </c>
      <c r="L139" s="52">
        <f>(F139-3651.01)*16%</f>
        <v>48.382399999999983</v>
      </c>
      <c r="M139" s="52">
        <v>293.25</v>
      </c>
      <c r="N139" s="52">
        <f>M139+L139</f>
        <v>341.63239999999996</v>
      </c>
      <c r="O139" s="52"/>
      <c r="P139" s="52"/>
      <c r="Q139" s="52"/>
      <c r="R139" s="52"/>
      <c r="S139" s="52"/>
      <c r="T139" s="48">
        <f>F139+G139+H139-N139+O139-P139-Q139-R139-S139</f>
        <v>3611.7676000000001</v>
      </c>
      <c r="U139" s="48">
        <f>T139-G139</f>
        <v>3611.7676000000001</v>
      </c>
    </row>
    <row r="140" spans="1:21" s="10" customFormat="1" x14ac:dyDescent="0.3">
      <c r="A140" s="22">
        <v>67</v>
      </c>
      <c r="B140" s="14" t="s">
        <v>304</v>
      </c>
      <c r="C140" s="109" t="s">
        <v>94</v>
      </c>
      <c r="D140" s="43">
        <v>15</v>
      </c>
      <c r="E140" s="70">
        <v>263.56</v>
      </c>
      <c r="F140" s="44">
        <f t="shared" si="48"/>
        <v>3953.4</v>
      </c>
      <c r="G140" s="44"/>
      <c r="H140" s="23"/>
      <c r="I140" s="44">
        <f t="shared" si="49"/>
        <v>3651.01</v>
      </c>
      <c r="J140" s="46">
        <f>+F140-I140</f>
        <v>302.38999999999987</v>
      </c>
      <c r="K140" s="47">
        <f t="shared" si="50"/>
        <v>0.16</v>
      </c>
      <c r="L140" s="44">
        <f>(F140-3651.01)*16%</f>
        <v>48.382399999999983</v>
      </c>
      <c r="M140" s="44">
        <v>293.25</v>
      </c>
      <c r="N140" s="44">
        <f>M140+L140</f>
        <v>341.63239999999996</v>
      </c>
      <c r="O140" s="44">
        <f t="shared" ref="O140:O145" si="51">VLOOKUP($F$140,Tabsub,3)</f>
        <v>0</v>
      </c>
      <c r="P140" s="44"/>
      <c r="Q140" s="44"/>
      <c r="R140" s="44"/>
      <c r="S140" s="44"/>
      <c r="T140" s="48">
        <f>F140+G140+H140-N140+O140-P140-Q140-R140-S140</f>
        <v>3611.7676000000001</v>
      </c>
      <c r="U140" s="46">
        <f>T140-G140</f>
        <v>3611.7676000000001</v>
      </c>
    </row>
    <row r="141" spans="1:21" s="10" customFormat="1" x14ac:dyDescent="0.3">
      <c r="A141" s="23">
        <v>68</v>
      </c>
      <c r="B141" s="14" t="s">
        <v>391</v>
      </c>
      <c r="C141" s="14" t="s">
        <v>366</v>
      </c>
      <c r="D141" s="43">
        <v>15</v>
      </c>
      <c r="E141" s="55">
        <v>153.97999999999999</v>
      </c>
      <c r="F141" s="52">
        <f t="shared" si="48"/>
        <v>2309.6999999999998</v>
      </c>
      <c r="G141" s="52"/>
      <c r="H141" s="22"/>
      <c r="I141" s="52">
        <f t="shared" si="49"/>
        <v>3651.01</v>
      </c>
      <c r="J141" s="48">
        <f>+F141-I141</f>
        <v>-1341.3100000000004</v>
      </c>
      <c r="K141" s="53">
        <f t="shared" si="50"/>
        <v>0.16</v>
      </c>
      <c r="L141" s="52">
        <f>(F141-3651.01)*16%</f>
        <v>-214.60960000000006</v>
      </c>
      <c r="M141" s="52">
        <v>294.25</v>
      </c>
      <c r="N141" s="52">
        <f>M141+L141</f>
        <v>79.640399999999943</v>
      </c>
      <c r="O141" s="52">
        <f t="shared" si="51"/>
        <v>0</v>
      </c>
      <c r="P141" s="52"/>
      <c r="Q141" s="52"/>
      <c r="R141" s="52"/>
      <c r="S141" s="52"/>
      <c r="T141" s="48">
        <f>F141+G141+H141-N141+O141-P141-Q141-R141-S141</f>
        <v>2230.0596</v>
      </c>
      <c r="U141" s="48">
        <f>T141-G141</f>
        <v>2230.0596</v>
      </c>
    </row>
    <row r="142" spans="1:21" s="10" customFormat="1" x14ac:dyDescent="0.3">
      <c r="A142" s="28">
        <v>69</v>
      </c>
      <c r="B142" s="111" t="s">
        <v>303</v>
      </c>
      <c r="C142" s="111" t="s">
        <v>367</v>
      </c>
      <c r="D142" s="58"/>
      <c r="E142" s="72">
        <v>153.97999999999999</v>
      </c>
      <c r="F142" s="59">
        <f t="shared" si="48"/>
        <v>0</v>
      </c>
      <c r="G142" s="59"/>
      <c r="H142" s="28"/>
      <c r="I142" s="59"/>
      <c r="J142" s="61"/>
      <c r="K142" s="62"/>
      <c r="L142" s="59"/>
      <c r="M142" s="59"/>
      <c r="N142" s="59"/>
      <c r="O142" s="59"/>
      <c r="P142" s="59"/>
      <c r="Q142" s="59"/>
      <c r="R142" s="59"/>
      <c r="S142" s="59"/>
      <c r="T142" s="61"/>
      <c r="U142" s="61"/>
    </row>
    <row r="143" spans="1:21" s="10" customFormat="1" x14ac:dyDescent="0.3">
      <c r="A143" s="23">
        <v>70</v>
      </c>
      <c r="B143" s="14" t="s">
        <v>397</v>
      </c>
      <c r="C143" s="14" t="s">
        <v>368</v>
      </c>
      <c r="D143" s="43">
        <v>15</v>
      </c>
      <c r="E143" s="55">
        <v>153.97999999999999</v>
      </c>
      <c r="F143" s="52">
        <f t="shared" si="48"/>
        <v>2309.6999999999998</v>
      </c>
      <c r="G143" s="52"/>
      <c r="H143" s="22"/>
      <c r="I143" s="52">
        <f t="shared" si="49"/>
        <v>3651.01</v>
      </c>
      <c r="J143" s="48">
        <f>+F143-I143</f>
        <v>-1341.3100000000004</v>
      </c>
      <c r="K143" s="53">
        <f t="shared" si="50"/>
        <v>0.16</v>
      </c>
      <c r="L143" s="52">
        <f>(F143-3651.01)*16%</f>
        <v>-214.60960000000006</v>
      </c>
      <c r="M143" s="52">
        <v>294.25</v>
      </c>
      <c r="N143" s="52">
        <f>M143+L143</f>
        <v>79.640399999999943</v>
      </c>
      <c r="O143" s="52">
        <f t="shared" si="51"/>
        <v>0</v>
      </c>
      <c r="P143" s="52"/>
      <c r="Q143" s="52"/>
      <c r="R143" s="52"/>
      <c r="S143" s="52"/>
      <c r="T143" s="48">
        <f>F143+G143+H143-N143+O143-P143-Q143-R143-S143</f>
        <v>2230.0596</v>
      </c>
      <c r="U143" s="48">
        <f>T143-G143</f>
        <v>2230.0596</v>
      </c>
    </row>
    <row r="144" spans="1:21" s="10" customFormat="1" x14ac:dyDescent="0.3">
      <c r="A144" s="22">
        <v>71</v>
      </c>
      <c r="B144" s="14" t="s">
        <v>398</v>
      </c>
      <c r="C144" s="14" t="s">
        <v>369</v>
      </c>
      <c r="D144" s="43">
        <v>15</v>
      </c>
      <c r="E144" s="55">
        <v>153.97999999999999</v>
      </c>
      <c r="F144" s="52">
        <f t="shared" si="48"/>
        <v>2309.6999999999998</v>
      </c>
      <c r="G144" s="52"/>
      <c r="H144" s="22"/>
      <c r="I144" s="52">
        <f t="shared" si="49"/>
        <v>3651.01</v>
      </c>
      <c r="J144" s="48">
        <f>+F144-I144</f>
        <v>-1341.3100000000004</v>
      </c>
      <c r="K144" s="53">
        <f t="shared" si="50"/>
        <v>0.16</v>
      </c>
      <c r="L144" s="52">
        <f>(F144-3651.01)*16%</f>
        <v>-214.60960000000006</v>
      </c>
      <c r="M144" s="52">
        <v>294.25</v>
      </c>
      <c r="N144" s="52">
        <v>79.64</v>
      </c>
      <c r="O144" s="52">
        <f t="shared" si="51"/>
        <v>0</v>
      </c>
      <c r="P144" s="52"/>
      <c r="Q144" s="52"/>
      <c r="R144" s="52"/>
      <c r="S144" s="52"/>
      <c r="T144" s="48">
        <f>F144+G144+H144-N144+O144-P144-Q144-R144-S144</f>
        <v>2230.06</v>
      </c>
      <c r="U144" s="48">
        <f>T144-G144</f>
        <v>2230.06</v>
      </c>
    </row>
    <row r="145" spans="1:21" s="10" customFormat="1" ht="19.2" x14ac:dyDescent="0.3">
      <c r="A145" s="23">
        <v>72</v>
      </c>
      <c r="B145" s="14" t="s">
        <v>399</v>
      </c>
      <c r="C145" s="113" t="s">
        <v>370</v>
      </c>
      <c r="D145" s="43">
        <v>15</v>
      </c>
      <c r="E145" s="55">
        <v>153.97999999999999</v>
      </c>
      <c r="F145" s="52">
        <f t="shared" si="48"/>
        <v>2309.6999999999998</v>
      </c>
      <c r="G145" s="52"/>
      <c r="H145" s="22"/>
      <c r="I145" s="52">
        <f t="shared" si="49"/>
        <v>3651.01</v>
      </c>
      <c r="J145" s="48">
        <f>+F145-I145</f>
        <v>-1341.3100000000004</v>
      </c>
      <c r="K145" s="53">
        <f t="shared" si="50"/>
        <v>0.16</v>
      </c>
      <c r="L145" s="52">
        <f>(F145-3651.01)*16%</f>
        <v>-214.60960000000006</v>
      </c>
      <c r="M145" s="52">
        <v>294.25</v>
      </c>
      <c r="N145" s="52">
        <v>79.64</v>
      </c>
      <c r="O145" s="52">
        <f t="shared" si="51"/>
        <v>0</v>
      </c>
      <c r="P145" s="52"/>
      <c r="Q145" s="52"/>
      <c r="R145" s="52"/>
      <c r="S145" s="52"/>
      <c r="T145" s="48">
        <f>F145+G145+H145-N145+O145-P145-Q145-R145-S145</f>
        <v>2230.06</v>
      </c>
      <c r="U145" s="48">
        <f>T145-G145</f>
        <v>2230.06</v>
      </c>
    </row>
    <row r="146" spans="1:21" s="10" customFormat="1" ht="20.399999999999999" x14ac:dyDescent="0.3">
      <c r="A146" s="28">
        <v>73</v>
      </c>
      <c r="B146" s="111" t="s">
        <v>303</v>
      </c>
      <c r="C146" s="111" t="s">
        <v>371</v>
      </c>
      <c r="D146" s="58"/>
      <c r="E146" s="72"/>
      <c r="F146" s="59"/>
      <c r="G146" s="59"/>
      <c r="H146" s="28"/>
      <c r="I146" s="59"/>
      <c r="J146" s="61"/>
      <c r="K146" s="62"/>
      <c r="L146" s="59"/>
      <c r="M146" s="59"/>
      <c r="N146" s="59"/>
      <c r="O146" s="59"/>
      <c r="P146" s="59"/>
      <c r="Q146" s="59"/>
      <c r="R146" s="59"/>
      <c r="S146" s="59"/>
      <c r="T146" s="61"/>
      <c r="U146" s="61"/>
    </row>
    <row r="147" spans="1:21" s="10" customFormat="1" x14ac:dyDescent="0.3">
      <c r="A147" s="28">
        <v>74</v>
      </c>
      <c r="B147" s="111" t="s">
        <v>303</v>
      </c>
      <c r="C147" s="111" t="s">
        <v>372</v>
      </c>
      <c r="D147" s="58"/>
      <c r="E147" s="72"/>
      <c r="F147" s="59"/>
      <c r="G147" s="59"/>
      <c r="H147" s="28"/>
      <c r="I147" s="59"/>
      <c r="J147" s="61"/>
      <c r="K147" s="62"/>
      <c r="L147" s="59"/>
      <c r="M147" s="59"/>
      <c r="N147" s="59"/>
      <c r="O147" s="59"/>
      <c r="P147" s="59"/>
      <c r="Q147" s="59"/>
      <c r="R147" s="59"/>
      <c r="S147" s="59"/>
      <c r="T147" s="61"/>
      <c r="U147" s="61"/>
    </row>
    <row r="148" spans="1:21" s="10" customFormat="1" x14ac:dyDescent="0.3">
      <c r="A148" s="28">
        <v>75</v>
      </c>
      <c r="B148" s="111" t="s">
        <v>303</v>
      </c>
      <c r="C148" s="111" t="s">
        <v>373</v>
      </c>
      <c r="D148" s="58"/>
      <c r="E148" s="72"/>
      <c r="F148" s="59"/>
      <c r="G148" s="59"/>
      <c r="H148" s="28"/>
      <c r="I148" s="59"/>
      <c r="J148" s="61"/>
      <c r="K148" s="62"/>
      <c r="L148" s="59"/>
      <c r="M148" s="59"/>
      <c r="N148" s="59"/>
      <c r="O148" s="59"/>
      <c r="P148" s="59"/>
      <c r="Q148" s="59"/>
      <c r="R148" s="59"/>
      <c r="S148" s="59"/>
      <c r="T148" s="61"/>
      <c r="U148" s="61"/>
    </row>
    <row r="149" spans="1:21" s="10" customFormat="1" x14ac:dyDescent="0.3">
      <c r="A149" s="24"/>
      <c r="B149" s="110"/>
      <c r="C149" s="19"/>
      <c r="D149" s="49"/>
      <c r="E149" s="50"/>
      <c r="F149" s="56">
        <f>+SUM(F138:F148)</f>
        <v>27065.550000000003</v>
      </c>
      <c r="G149" s="56">
        <f>+SUM(G138:G148)</f>
        <v>0</v>
      </c>
      <c r="H149" s="56">
        <f t="shared" ref="H149:U149" si="52">+SUM(H138:H148)</f>
        <v>0</v>
      </c>
      <c r="I149" s="56">
        <f t="shared" si="52"/>
        <v>26987.070000000007</v>
      </c>
      <c r="J149" s="56">
        <f t="shared" si="52"/>
        <v>78.479999999997744</v>
      </c>
      <c r="K149" s="56">
        <f t="shared" si="52"/>
        <v>1.1736</v>
      </c>
      <c r="L149" s="56">
        <f t="shared" si="52"/>
        <v>271.9239839999999</v>
      </c>
      <c r="M149" s="56">
        <f t="shared" si="52"/>
        <v>2301.6999999999998</v>
      </c>
      <c r="N149" s="56">
        <f t="shared" si="52"/>
        <v>2573.6231839999991</v>
      </c>
      <c r="O149" s="56">
        <f t="shared" si="52"/>
        <v>0</v>
      </c>
      <c r="P149" s="56">
        <f t="shared" si="52"/>
        <v>0</v>
      </c>
      <c r="Q149" s="56">
        <f t="shared" si="52"/>
        <v>0</v>
      </c>
      <c r="R149" s="56">
        <f t="shared" si="52"/>
        <v>0</v>
      </c>
      <c r="S149" s="56">
        <f t="shared" si="52"/>
        <v>0</v>
      </c>
      <c r="T149" s="56">
        <f>+SUM(T138:T148)</f>
        <v>24491.926816000003</v>
      </c>
      <c r="U149" s="56">
        <f t="shared" si="52"/>
        <v>24491.926816000003</v>
      </c>
    </row>
    <row r="150" spans="1:21" s="10" customFormat="1" x14ac:dyDescent="0.3">
      <c r="A150" s="24"/>
      <c r="B150" s="110"/>
      <c r="C150" s="19"/>
      <c r="D150" s="49"/>
      <c r="E150" s="50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</row>
    <row r="151" spans="1:21" s="10" customFormat="1" ht="18" x14ac:dyDescent="0.3">
      <c r="A151" s="173" t="s">
        <v>256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:21" s="10" customFormat="1" ht="34.5" customHeight="1" x14ac:dyDescent="0.3">
      <c r="A152" s="21" t="s">
        <v>69</v>
      </c>
      <c r="B152" s="21" t="s">
        <v>17</v>
      </c>
      <c r="C152" s="21" t="s">
        <v>84</v>
      </c>
      <c r="D152" s="21" t="s">
        <v>27</v>
      </c>
      <c r="E152" s="21" t="s">
        <v>19</v>
      </c>
      <c r="F152" s="21" t="s">
        <v>18</v>
      </c>
      <c r="G152" s="21" t="s">
        <v>66</v>
      </c>
      <c r="H152" s="21" t="s">
        <v>74</v>
      </c>
      <c r="I152" s="37" t="s">
        <v>188</v>
      </c>
      <c r="J152" s="37" t="s">
        <v>189</v>
      </c>
      <c r="K152" s="37" t="s">
        <v>190</v>
      </c>
      <c r="L152" s="37" t="s">
        <v>191</v>
      </c>
      <c r="M152" s="21" t="s">
        <v>192</v>
      </c>
      <c r="N152" s="21" t="s">
        <v>67</v>
      </c>
      <c r="O152" s="21" t="s">
        <v>68</v>
      </c>
      <c r="P152" s="21" t="s">
        <v>20</v>
      </c>
      <c r="Q152" s="21" t="s">
        <v>299</v>
      </c>
      <c r="R152" s="21" t="s">
        <v>72</v>
      </c>
      <c r="S152" s="21" t="s">
        <v>82</v>
      </c>
      <c r="T152" s="21" t="s">
        <v>80</v>
      </c>
      <c r="U152" s="21" t="s">
        <v>81</v>
      </c>
    </row>
    <row r="153" spans="1:21" s="12" customFormat="1" x14ac:dyDescent="0.3">
      <c r="A153" s="22">
        <v>76</v>
      </c>
      <c r="B153" s="14" t="s">
        <v>228</v>
      </c>
      <c r="C153" s="14" t="s">
        <v>422</v>
      </c>
      <c r="D153" s="27">
        <v>15</v>
      </c>
      <c r="E153" s="75">
        <v>661.33</v>
      </c>
      <c r="F153" s="76">
        <f t="shared" ref="F153" si="53">D153*E153</f>
        <v>9919.9500000000007</v>
      </c>
      <c r="G153" s="40"/>
      <c r="H153" s="40"/>
      <c r="I153" s="52">
        <f>VLOOKUP($F$90,Tabisr,1)</f>
        <v>5081.01</v>
      </c>
      <c r="J153" s="48">
        <f>+F153-I153</f>
        <v>4838.9400000000005</v>
      </c>
      <c r="K153" s="53">
        <f>VLOOKUP($F$90,Tabisr,4)</f>
        <v>0.21360000000000001</v>
      </c>
      <c r="L153" s="52">
        <f>(F153-4244.01)*17.92%</f>
        <v>1017.1284480000003</v>
      </c>
      <c r="M153" s="52">
        <v>388.05</v>
      </c>
      <c r="N153" s="52">
        <v>1571.8</v>
      </c>
      <c r="O153" s="52">
        <f>VLOOKUP($F$90,Tabsub,3)</f>
        <v>0</v>
      </c>
      <c r="P153" s="40"/>
      <c r="Q153" s="40"/>
      <c r="R153" s="40"/>
      <c r="S153" s="40"/>
      <c r="T153" s="48">
        <f>F153+G153+H153-N153+O153-P153-Q153-R153-S153</f>
        <v>8348.1500000000015</v>
      </c>
      <c r="U153" s="48">
        <f>T153-G153</f>
        <v>8348.1500000000015</v>
      </c>
    </row>
    <row r="154" spans="1:21" s="10" customFormat="1" ht="20.399999999999999" x14ac:dyDescent="0.3">
      <c r="A154" s="22">
        <v>77</v>
      </c>
      <c r="B154" s="14" t="s">
        <v>343</v>
      </c>
      <c r="C154" s="116" t="s">
        <v>344</v>
      </c>
      <c r="D154" s="43">
        <v>15</v>
      </c>
      <c r="E154" s="67">
        <v>263.56</v>
      </c>
      <c r="F154" s="52">
        <f>D154*E154</f>
        <v>3953.4</v>
      </c>
      <c r="G154" s="52"/>
      <c r="H154" s="22"/>
      <c r="I154" s="52">
        <f>VLOOKUP($F$28,Tabisr,1)</f>
        <v>3651.01</v>
      </c>
      <c r="J154" s="48">
        <f>+F154-I154</f>
        <v>302.38999999999987</v>
      </c>
      <c r="K154" s="53">
        <f>VLOOKUP($F$28,Tabisr,4)</f>
        <v>0.16</v>
      </c>
      <c r="L154" s="52">
        <f>(F154-3651.01)*16%</f>
        <v>48.382399999999983</v>
      </c>
      <c r="M154" s="52">
        <v>293.25</v>
      </c>
      <c r="N154" s="52">
        <f>M154+L154</f>
        <v>341.63239999999996</v>
      </c>
      <c r="O154" s="52"/>
      <c r="P154" s="52"/>
      <c r="Q154" s="52"/>
      <c r="R154" s="52"/>
      <c r="S154" s="52"/>
      <c r="T154" s="48">
        <f>F154+G154+H154-N154+O154-P154-Q154-R154-S154</f>
        <v>3611.7676000000001</v>
      </c>
      <c r="U154" s="48">
        <f>T154-G154</f>
        <v>3611.7676000000001</v>
      </c>
    </row>
    <row r="155" spans="1:21" s="10" customFormat="1" x14ac:dyDescent="0.3">
      <c r="A155" s="23">
        <v>78</v>
      </c>
      <c r="B155" s="108" t="s">
        <v>126</v>
      </c>
      <c r="C155" s="109" t="s">
        <v>89</v>
      </c>
      <c r="D155" s="43">
        <v>15</v>
      </c>
      <c r="E155" s="70">
        <v>263.56</v>
      </c>
      <c r="F155" s="44">
        <f>D155*E155</f>
        <v>3953.4</v>
      </c>
      <c r="G155" s="44"/>
      <c r="H155" s="23"/>
      <c r="I155" s="44">
        <f>VLOOKUP($F$28,Tabisr,1)</f>
        <v>3651.01</v>
      </c>
      <c r="J155" s="46">
        <f>+F155-I155</f>
        <v>302.38999999999987</v>
      </c>
      <c r="K155" s="47">
        <f>VLOOKUP($F$28,Tabisr,4)</f>
        <v>0.16</v>
      </c>
      <c r="L155" s="44">
        <f>(F155-3651.01)*16%</f>
        <v>48.382399999999983</v>
      </c>
      <c r="M155" s="44">
        <v>293.25</v>
      </c>
      <c r="N155" s="44">
        <f>M155+L155</f>
        <v>341.63239999999996</v>
      </c>
      <c r="O155" s="44"/>
      <c r="P155" s="44"/>
      <c r="Q155" s="44"/>
      <c r="R155" s="44"/>
      <c r="S155" s="44"/>
      <c r="T155" s="48">
        <f>F155+G155+H155-N155+O155-P155-Q155-R155-S155</f>
        <v>3611.7676000000001</v>
      </c>
      <c r="U155" s="46">
        <f>T155-G155</f>
        <v>3611.7676000000001</v>
      </c>
    </row>
    <row r="156" spans="1:21" s="10" customFormat="1" x14ac:dyDescent="0.3">
      <c r="A156" s="24"/>
      <c r="B156" s="114"/>
      <c r="C156" s="115"/>
      <c r="D156" s="64"/>
      <c r="E156" s="64"/>
      <c r="F156" s="69">
        <f>+SUM(F153:F155)</f>
        <v>17826.75</v>
      </c>
      <c r="G156" s="69">
        <f>+SUM(G153:G155)</f>
        <v>0</v>
      </c>
      <c r="H156" s="69">
        <f t="shared" ref="H156:M156" si="54">+SUM(H153:H155)</f>
        <v>0</v>
      </c>
      <c r="I156" s="69">
        <f t="shared" si="54"/>
        <v>12383.03</v>
      </c>
      <c r="J156" s="69">
        <f t="shared" si="54"/>
        <v>5443.7199999999993</v>
      </c>
      <c r="K156" s="69">
        <f t="shared" si="54"/>
        <v>0.53360000000000007</v>
      </c>
      <c r="L156" s="69">
        <f t="shared" si="54"/>
        <v>1113.8932480000003</v>
      </c>
      <c r="M156" s="69">
        <f t="shared" si="54"/>
        <v>974.55</v>
      </c>
      <c r="N156" s="69">
        <f t="shared" ref="N156:U156" si="55">+SUM(N153:N155)</f>
        <v>2255.0648000000001</v>
      </c>
      <c r="O156" s="69">
        <f t="shared" si="55"/>
        <v>0</v>
      </c>
      <c r="P156" s="69">
        <f t="shared" si="55"/>
        <v>0</v>
      </c>
      <c r="Q156" s="69">
        <f t="shared" si="55"/>
        <v>0</v>
      </c>
      <c r="R156" s="69">
        <f t="shared" si="55"/>
        <v>0</v>
      </c>
      <c r="S156" s="69">
        <f t="shared" si="55"/>
        <v>0</v>
      </c>
      <c r="T156" s="69">
        <f t="shared" si="55"/>
        <v>15571.6852</v>
      </c>
      <c r="U156" s="69">
        <f t="shared" si="55"/>
        <v>15571.6852</v>
      </c>
    </row>
    <row r="157" spans="1:21" s="10" customFormat="1" x14ac:dyDescent="0.3">
      <c r="A157" s="24"/>
      <c r="B157" s="114"/>
      <c r="C157" s="115"/>
      <c r="D157" s="64"/>
      <c r="E157" s="64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s="10" customFormat="1" ht="18" x14ac:dyDescent="0.3">
      <c r="A158" s="173" t="s">
        <v>257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21" s="10" customFormat="1" ht="31.5" customHeight="1" x14ac:dyDescent="0.3">
      <c r="A159" s="21" t="s">
        <v>69</v>
      </c>
      <c r="B159" s="21" t="s">
        <v>17</v>
      </c>
      <c r="C159" s="21" t="s">
        <v>84</v>
      </c>
      <c r="D159" s="21" t="s">
        <v>27</v>
      </c>
      <c r="E159" s="21" t="s">
        <v>19</v>
      </c>
      <c r="F159" s="21" t="s">
        <v>18</v>
      </c>
      <c r="G159" s="21" t="s">
        <v>66</v>
      </c>
      <c r="H159" s="21" t="s">
        <v>74</v>
      </c>
      <c r="I159" s="37" t="s">
        <v>188</v>
      </c>
      <c r="J159" s="37" t="s">
        <v>189</v>
      </c>
      <c r="K159" s="37" t="s">
        <v>190</v>
      </c>
      <c r="L159" s="37" t="s">
        <v>191</v>
      </c>
      <c r="M159" s="21" t="s">
        <v>192</v>
      </c>
      <c r="N159" s="21" t="s">
        <v>67</v>
      </c>
      <c r="O159" s="21" t="s">
        <v>68</v>
      </c>
      <c r="P159" s="21" t="s">
        <v>20</v>
      </c>
      <c r="Q159" s="21" t="s">
        <v>299</v>
      </c>
      <c r="R159" s="21" t="s">
        <v>72</v>
      </c>
      <c r="S159" s="21" t="s">
        <v>82</v>
      </c>
      <c r="T159" s="21" t="s">
        <v>80</v>
      </c>
      <c r="U159" s="21" t="s">
        <v>81</v>
      </c>
    </row>
    <row r="160" spans="1:21" s="10" customFormat="1" x14ac:dyDescent="0.3">
      <c r="A160" s="22">
        <v>79</v>
      </c>
      <c r="B160" s="14" t="s">
        <v>26</v>
      </c>
      <c r="C160" s="14" t="s">
        <v>107</v>
      </c>
      <c r="D160" s="43">
        <v>15</v>
      </c>
      <c r="E160" s="52">
        <v>414.83</v>
      </c>
      <c r="F160" s="52">
        <f>D160*E160</f>
        <v>6222.45</v>
      </c>
      <c r="G160" s="52"/>
      <c r="H160" s="22"/>
      <c r="I160" s="52">
        <f>VLOOKUP($F$209,Tabisr,1)</f>
        <v>5081.01</v>
      </c>
      <c r="J160" s="48">
        <f>+F160-I160</f>
        <v>1141.4399999999996</v>
      </c>
      <c r="K160" s="53">
        <f>VLOOKUP($F$209,Tabisr,4)</f>
        <v>0.21360000000000001</v>
      </c>
      <c r="L160" s="52">
        <f>+J160*K160</f>
        <v>243.81158399999993</v>
      </c>
      <c r="M160" s="52">
        <f>VLOOKUP($F$209,Tabisr,3)</f>
        <v>538.20000000000005</v>
      </c>
      <c r="N160" s="40">
        <f>+L160+M160</f>
        <v>782.01158399999997</v>
      </c>
      <c r="O160" s="52"/>
      <c r="P160" s="52"/>
      <c r="Q160" s="52"/>
      <c r="R160" s="52"/>
      <c r="S160" s="52"/>
      <c r="T160" s="48">
        <f>F160+G160+H160-N160+O160-P160-Q160-R160-S160</f>
        <v>5440.438416</v>
      </c>
      <c r="U160" s="48">
        <f>T160-G160</f>
        <v>5440.438416</v>
      </c>
    </row>
    <row r="161" spans="1:21" s="10" customFormat="1" x14ac:dyDescent="0.3">
      <c r="A161" s="23">
        <v>80</v>
      </c>
      <c r="B161" s="14" t="s">
        <v>3</v>
      </c>
      <c r="C161" s="109" t="s">
        <v>86</v>
      </c>
      <c r="D161" s="66">
        <v>15</v>
      </c>
      <c r="E161" s="44">
        <v>263.56</v>
      </c>
      <c r="F161" s="44">
        <f>D161*E161</f>
        <v>3953.4</v>
      </c>
      <c r="G161" s="44"/>
      <c r="H161" s="46">
        <v>0</v>
      </c>
      <c r="I161" s="44">
        <f>VLOOKUP($F$161,Tabisr,1)</f>
        <v>3651.01</v>
      </c>
      <c r="J161" s="46">
        <f>+F161-I161</f>
        <v>302.38999999999987</v>
      </c>
      <c r="K161" s="47">
        <f>VLOOKUP($F$161,Tabisr,4)</f>
        <v>0.16</v>
      </c>
      <c r="L161" s="44">
        <f>(F161-3651.01)*16%</f>
        <v>48.382399999999983</v>
      </c>
      <c r="M161" s="44">
        <v>293.25</v>
      </c>
      <c r="N161" s="52">
        <f>M161+L161</f>
        <v>341.63239999999996</v>
      </c>
      <c r="O161" s="44"/>
      <c r="P161" s="23"/>
      <c r="Q161" s="23"/>
      <c r="R161" s="23"/>
      <c r="S161" s="73"/>
      <c r="T161" s="48">
        <f>F161+G161+H161-N161+O161-P161-Q161-R161-S161</f>
        <v>3611.7676000000001</v>
      </c>
      <c r="U161" s="46">
        <f>T161-G161</f>
        <v>3611.7676000000001</v>
      </c>
    </row>
    <row r="162" spans="1:21" s="11" customFormat="1" x14ac:dyDescent="0.3">
      <c r="A162" s="28">
        <v>81</v>
      </c>
      <c r="B162" s="111" t="s">
        <v>303</v>
      </c>
      <c r="C162" s="17" t="s">
        <v>86</v>
      </c>
      <c r="D162" s="58"/>
      <c r="E162" s="59"/>
      <c r="F162" s="59"/>
      <c r="G162" s="60"/>
      <c r="H162" s="60"/>
      <c r="I162" s="59"/>
      <c r="J162" s="61"/>
      <c r="K162" s="62"/>
      <c r="L162" s="59"/>
      <c r="M162" s="59"/>
      <c r="N162" s="59"/>
      <c r="O162" s="59"/>
      <c r="P162" s="60"/>
      <c r="Q162" s="60"/>
      <c r="R162" s="60"/>
      <c r="S162" s="60"/>
      <c r="T162" s="61"/>
      <c r="U162" s="61"/>
    </row>
    <row r="163" spans="1:21" s="10" customFormat="1" x14ac:dyDescent="0.3">
      <c r="A163" s="24"/>
      <c r="B163" s="114"/>
      <c r="C163" s="115"/>
      <c r="D163" s="64"/>
      <c r="E163" s="64"/>
      <c r="F163" s="69">
        <f>+SUM(F160:F162)</f>
        <v>10175.85</v>
      </c>
      <c r="G163" s="69">
        <f>+SUM(G160:G162)</f>
        <v>0</v>
      </c>
      <c r="H163" s="69">
        <f>+SUM(H160:H162)</f>
        <v>0</v>
      </c>
      <c r="I163" s="69">
        <f t="shared" ref="I163:U163" si="56">+SUM(I160:I162)</f>
        <v>8732.02</v>
      </c>
      <c r="J163" s="69">
        <f t="shared" si="56"/>
        <v>1443.8299999999995</v>
      </c>
      <c r="K163" s="69">
        <f t="shared" si="56"/>
        <v>0.37360000000000004</v>
      </c>
      <c r="L163" s="69">
        <f t="shared" si="56"/>
        <v>292.19398399999989</v>
      </c>
      <c r="M163" s="69">
        <f t="shared" si="56"/>
        <v>831.45</v>
      </c>
      <c r="N163" s="69">
        <f>+SUM(N160:N162)</f>
        <v>1123.6439839999998</v>
      </c>
      <c r="O163" s="69">
        <f>+SUM(O160:O162)</f>
        <v>0</v>
      </c>
      <c r="P163" s="69">
        <f>+SUM(P160:P162)</f>
        <v>0</v>
      </c>
      <c r="Q163" s="69">
        <f>+SUM(Q160:Q162)</f>
        <v>0</v>
      </c>
      <c r="R163" s="69">
        <f>+SUM(R160:R162)</f>
        <v>0</v>
      </c>
      <c r="S163" s="69">
        <f t="shared" si="56"/>
        <v>0</v>
      </c>
      <c r="T163" s="69">
        <f t="shared" si="56"/>
        <v>9052.2060160000001</v>
      </c>
      <c r="U163" s="69">
        <f t="shared" si="56"/>
        <v>9052.2060160000001</v>
      </c>
    </row>
    <row r="164" spans="1:21" s="10" customFormat="1" x14ac:dyDescent="0.3">
      <c r="A164" s="24"/>
      <c r="B164" s="114"/>
      <c r="C164" s="115"/>
      <c r="D164" s="64"/>
      <c r="E164" s="64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s="10" customFormat="1" ht="18" x14ac:dyDescent="0.3">
      <c r="A165" s="173" t="s">
        <v>258</v>
      </c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:21" s="10" customFormat="1" ht="36.75" customHeight="1" x14ac:dyDescent="0.3">
      <c r="A166" s="21" t="s">
        <v>69</v>
      </c>
      <c r="B166" s="21" t="s">
        <v>17</v>
      </c>
      <c r="C166" s="21" t="s">
        <v>84</v>
      </c>
      <c r="D166" s="21" t="s">
        <v>27</v>
      </c>
      <c r="E166" s="21" t="s">
        <v>19</v>
      </c>
      <c r="F166" s="21" t="s">
        <v>18</v>
      </c>
      <c r="G166" s="21" t="s">
        <v>66</v>
      </c>
      <c r="H166" s="21" t="s">
        <v>74</v>
      </c>
      <c r="I166" s="37" t="s">
        <v>188</v>
      </c>
      <c r="J166" s="37" t="s">
        <v>189</v>
      </c>
      <c r="K166" s="37" t="s">
        <v>190</v>
      </c>
      <c r="L166" s="37" t="s">
        <v>191</v>
      </c>
      <c r="M166" s="21" t="s">
        <v>192</v>
      </c>
      <c r="N166" s="21" t="s">
        <v>67</v>
      </c>
      <c r="O166" s="21" t="s">
        <v>68</v>
      </c>
      <c r="P166" s="21" t="s">
        <v>20</v>
      </c>
      <c r="Q166" s="21" t="s">
        <v>299</v>
      </c>
      <c r="R166" s="21" t="s">
        <v>72</v>
      </c>
      <c r="S166" s="21" t="s">
        <v>82</v>
      </c>
      <c r="T166" s="21" t="s">
        <v>80</v>
      </c>
      <c r="U166" s="21" t="s">
        <v>81</v>
      </c>
    </row>
    <row r="167" spans="1:21" s="10" customFormat="1" ht="20.399999999999999" x14ac:dyDescent="0.3">
      <c r="A167" s="22">
        <v>82</v>
      </c>
      <c r="B167" s="14" t="s">
        <v>116</v>
      </c>
      <c r="C167" s="14" t="s">
        <v>229</v>
      </c>
      <c r="D167" s="43">
        <v>15</v>
      </c>
      <c r="E167" s="52">
        <v>661.33</v>
      </c>
      <c r="F167" s="52">
        <f t="shared" ref="F167:F175" si="57">D167*E167</f>
        <v>9919.9500000000007</v>
      </c>
      <c r="G167" s="52"/>
      <c r="H167" s="52"/>
      <c r="I167" s="52">
        <f>VLOOKUP($F$180,Tabisr,1)</f>
        <v>5081.01</v>
      </c>
      <c r="J167" s="48">
        <f t="shared" ref="J167:J175" si="58">+F167-I167</f>
        <v>4838.9400000000005</v>
      </c>
      <c r="K167" s="53">
        <f>VLOOKUP($F$180,Tabisr,4)</f>
        <v>0.21360000000000001</v>
      </c>
      <c r="L167" s="52">
        <f>(F167-5081.01)*21.36%</f>
        <v>1033.5975840000001</v>
      </c>
      <c r="M167" s="52">
        <v>538.20000000000005</v>
      </c>
      <c r="N167" s="52">
        <f t="shared" ref="N167:N175" si="59">L167+M167</f>
        <v>1571.7975840000001</v>
      </c>
      <c r="O167" s="52">
        <f>VLOOKUP($F$180,Tabsub,3)</f>
        <v>0</v>
      </c>
      <c r="P167" s="52"/>
      <c r="Q167" s="52"/>
      <c r="R167" s="52"/>
      <c r="S167" s="52"/>
      <c r="T167" s="48">
        <f t="shared" ref="T167:T175" si="60">F167+G167+H167-N167+O167-P167-Q167-R167-S167</f>
        <v>8348.1524160000008</v>
      </c>
      <c r="U167" s="48">
        <f t="shared" ref="U167:U175" si="61">T167-G167</f>
        <v>8348.1524160000008</v>
      </c>
    </row>
    <row r="168" spans="1:21" s="10" customFormat="1" x14ac:dyDescent="0.3">
      <c r="A168" s="157"/>
      <c r="B168" s="158" t="s">
        <v>426</v>
      </c>
      <c r="C168" s="158" t="s">
        <v>86</v>
      </c>
      <c r="D168" s="159"/>
      <c r="E168" s="160"/>
      <c r="F168" s="161"/>
      <c r="G168" s="161"/>
      <c r="H168" s="161"/>
      <c r="I168" s="161"/>
      <c r="J168" s="161"/>
      <c r="K168" s="161"/>
      <c r="L168" s="161"/>
      <c r="M168" s="161"/>
      <c r="N168" s="162"/>
      <c r="O168" s="161"/>
      <c r="P168" s="161"/>
      <c r="Q168" s="162"/>
      <c r="R168" s="162"/>
      <c r="S168" s="162"/>
      <c r="T168" s="162"/>
      <c r="U168" s="162"/>
    </row>
    <row r="169" spans="1:21" s="10" customFormat="1" x14ac:dyDescent="0.3">
      <c r="A169" s="22">
        <v>84</v>
      </c>
      <c r="B169" s="14" t="s">
        <v>277</v>
      </c>
      <c r="C169" s="14" t="s">
        <v>230</v>
      </c>
      <c r="D169" s="43">
        <v>15</v>
      </c>
      <c r="E169" s="52">
        <v>312.26</v>
      </c>
      <c r="F169" s="52">
        <f t="shared" si="57"/>
        <v>4683.8999999999996</v>
      </c>
      <c r="G169" s="40"/>
      <c r="H169" s="40"/>
      <c r="I169" s="52">
        <f>VLOOKUP($F$90,Tabisr,1)</f>
        <v>5081.01</v>
      </c>
      <c r="J169" s="48">
        <f t="shared" si="58"/>
        <v>-397.11000000000058</v>
      </c>
      <c r="K169" s="53">
        <f>VLOOKUP($F$90,Tabisr,4)</f>
        <v>0.21360000000000001</v>
      </c>
      <c r="L169" s="52">
        <f>(F169-4244.01)*17.92%</f>
        <v>78.828287999999901</v>
      </c>
      <c r="M169" s="52">
        <v>388.05</v>
      </c>
      <c r="N169" s="52">
        <f t="shared" si="59"/>
        <v>466.87828799999988</v>
      </c>
      <c r="O169" s="52">
        <f>VLOOKUP($F$90,Tabsub,3)</f>
        <v>0</v>
      </c>
      <c r="P169" s="40"/>
      <c r="Q169" s="40"/>
      <c r="R169" s="40"/>
      <c r="S169" s="40"/>
      <c r="T169" s="48">
        <f t="shared" si="60"/>
        <v>4217.0217119999998</v>
      </c>
      <c r="U169" s="48">
        <f t="shared" si="61"/>
        <v>4217.0217119999998</v>
      </c>
    </row>
    <row r="170" spans="1:21" s="10" customFormat="1" ht="20.399999999999999" x14ac:dyDescent="0.3">
      <c r="A170" s="22">
        <v>85</v>
      </c>
      <c r="B170" s="14" t="s">
        <v>305</v>
      </c>
      <c r="C170" s="14" t="s">
        <v>415</v>
      </c>
      <c r="D170" s="43">
        <v>15</v>
      </c>
      <c r="E170" s="52">
        <v>312.26</v>
      </c>
      <c r="F170" s="52">
        <f t="shared" si="57"/>
        <v>4683.8999999999996</v>
      </c>
      <c r="G170" s="52"/>
      <c r="H170" s="52"/>
      <c r="I170" s="52">
        <f>VLOOKUP($F$90,Tabisr,1)</f>
        <v>5081.01</v>
      </c>
      <c r="J170" s="48">
        <f t="shared" si="58"/>
        <v>-397.11000000000058</v>
      </c>
      <c r="K170" s="53">
        <f>VLOOKUP($F$90,Tabisr,4)</f>
        <v>0.21360000000000001</v>
      </c>
      <c r="L170" s="52">
        <f>(F170-4244.01)*17.92%</f>
        <v>78.828287999999901</v>
      </c>
      <c r="M170" s="52">
        <v>388.05</v>
      </c>
      <c r="N170" s="52">
        <f t="shared" si="59"/>
        <v>466.87828799999988</v>
      </c>
      <c r="O170" s="52">
        <f>VLOOKUP($F$171,Tabsub,3)</f>
        <v>0</v>
      </c>
      <c r="P170" s="52"/>
      <c r="Q170" s="52"/>
      <c r="R170" s="52"/>
      <c r="S170" s="52"/>
      <c r="T170" s="48">
        <f t="shared" si="60"/>
        <v>4217.0217119999998</v>
      </c>
      <c r="U170" s="48">
        <f t="shared" si="61"/>
        <v>4217.0217119999998</v>
      </c>
    </row>
    <row r="171" spans="1:21" s="10" customFormat="1" x14ac:dyDescent="0.3">
      <c r="A171" s="22">
        <v>86</v>
      </c>
      <c r="B171" s="14" t="s">
        <v>50</v>
      </c>
      <c r="C171" s="108" t="s">
        <v>157</v>
      </c>
      <c r="D171" s="43">
        <v>15</v>
      </c>
      <c r="E171" s="44">
        <v>263.56</v>
      </c>
      <c r="F171" s="44">
        <f t="shared" si="57"/>
        <v>3953.4</v>
      </c>
      <c r="G171" s="44"/>
      <c r="H171" s="44"/>
      <c r="I171" s="44">
        <f>VLOOKUP($F$171,Tabisr,1)</f>
        <v>3651.01</v>
      </c>
      <c r="J171" s="46">
        <f t="shared" si="58"/>
        <v>302.38999999999987</v>
      </c>
      <c r="K171" s="47">
        <f>VLOOKUP($F$171,Tabisr,4)</f>
        <v>0.16</v>
      </c>
      <c r="L171" s="44">
        <f>(F171-3651.01)*16%</f>
        <v>48.382399999999983</v>
      </c>
      <c r="M171" s="44">
        <v>293.25</v>
      </c>
      <c r="N171" s="44">
        <f t="shared" si="59"/>
        <v>341.63239999999996</v>
      </c>
      <c r="O171" s="44">
        <f>VLOOKUP($F$171,Tabsub,3)</f>
        <v>0</v>
      </c>
      <c r="P171" s="44"/>
      <c r="Q171" s="44"/>
      <c r="R171" s="44"/>
      <c r="S171" s="44"/>
      <c r="T171" s="48">
        <f t="shared" si="60"/>
        <v>3611.7676000000001</v>
      </c>
      <c r="U171" s="46">
        <f t="shared" si="61"/>
        <v>3611.7676000000001</v>
      </c>
    </row>
    <row r="172" spans="1:21" s="10" customFormat="1" x14ac:dyDescent="0.3">
      <c r="A172" s="22">
        <v>87</v>
      </c>
      <c r="B172" s="14" t="s">
        <v>11</v>
      </c>
      <c r="C172" s="108" t="s">
        <v>101</v>
      </c>
      <c r="D172" s="43">
        <v>15</v>
      </c>
      <c r="E172" s="44">
        <v>263.56</v>
      </c>
      <c r="F172" s="44">
        <f t="shared" si="57"/>
        <v>3953.4</v>
      </c>
      <c r="G172" s="44"/>
      <c r="H172" s="44"/>
      <c r="I172" s="44">
        <f>VLOOKUP($F$172,Tabisr,1)</f>
        <v>3651.01</v>
      </c>
      <c r="J172" s="46">
        <f t="shared" si="58"/>
        <v>302.38999999999987</v>
      </c>
      <c r="K172" s="47">
        <f>VLOOKUP($F$172,Tabisr,4)</f>
        <v>0.16</v>
      </c>
      <c r="L172" s="44">
        <f>(F172-3651.01)*16%</f>
        <v>48.382399999999983</v>
      </c>
      <c r="M172" s="44">
        <v>293.25</v>
      </c>
      <c r="N172" s="44">
        <f t="shared" si="59"/>
        <v>341.63239999999996</v>
      </c>
      <c r="O172" s="44">
        <f>VLOOKUP($F$172,Tabsub,3)</f>
        <v>0</v>
      </c>
      <c r="P172" s="44"/>
      <c r="Q172" s="44"/>
      <c r="R172" s="44"/>
      <c r="S172" s="44"/>
      <c r="T172" s="48">
        <f t="shared" si="60"/>
        <v>3611.7676000000001</v>
      </c>
      <c r="U172" s="46">
        <f t="shared" si="61"/>
        <v>3611.7676000000001</v>
      </c>
    </row>
    <row r="173" spans="1:21" s="10" customFormat="1" x14ac:dyDescent="0.3">
      <c r="A173" s="22">
        <v>88</v>
      </c>
      <c r="B173" s="14" t="s">
        <v>136</v>
      </c>
      <c r="C173" s="108" t="s">
        <v>296</v>
      </c>
      <c r="D173" s="43">
        <v>15</v>
      </c>
      <c r="E173" s="44">
        <v>263.56</v>
      </c>
      <c r="F173" s="44">
        <f t="shared" si="57"/>
        <v>3953.4</v>
      </c>
      <c r="G173" s="44"/>
      <c r="H173" s="44"/>
      <c r="I173" s="44">
        <f>VLOOKUP($F$173,Tabisr,1)</f>
        <v>3651.01</v>
      </c>
      <c r="J173" s="46">
        <f t="shared" si="58"/>
        <v>302.38999999999987</v>
      </c>
      <c r="K173" s="47">
        <f>VLOOKUP($F$173,Tabisr,4)</f>
        <v>0.16</v>
      </c>
      <c r="L173" s="44">
        <f>(F173-3651.01)*16%</f>
        <v>48.382399999999983</v>
      </c>
      <c r="M173" s="44">
        <v>293.25</v>
      </c>
      <c r="N173" s="44">
        <f t="shared" si="59"/>
        <v>341.63239999999996</v>
      </c>
      <c r="O173" s="44">
        <f>VLOOKUP($F$173,Tabsub,3)</f>
        <v>0</v>
      </c>
      <c r="P173" s="44"/>
      <c r="Q173" s="44"/>
      <c r="R173" s="44"/>
      <c r="S173" s="44"/>
      <c r="T173" s="48">
        <f t="shared" si="60"/>
        <v>3611.7676000000001</v>
      </c>
      <c r="U173" s="46">
        <f t="shared" si="61"/>
        <v>3611.7676000000001</v>
      </c>
    </row>
    <row r="174" spans="1:21" s="10" customFormat="1" x14ac:dyDescent="0.3">
      <c r="A174" s="22">
        <v>89</v>
      </c>
      <c r="B174" s="14" t="s">
        <v>73</v>
      </c>
      <c r="C174" s="109" t="s">
        <v>100</v>
      </c>
      <c r="D174" s="43">
        <v>15</v>
      </c>
      <c r="E174" s="44">
        <v>312.26</v>
      </c>
      <c r="F174" s="44">
        <f t="shared" si="57"/>
        <v>4683.8999999999996</v>
      </c>
      <c r="G174" s="44"/>
      <c r="H174" s="44"/>
      <c r="I174" s="44">
        <f>VLOOKUP($F$90,Tabisr,1)</f>
        <v>5081.01</v>
      </c>
      <c r="J174" s="46">
        <f t="shared" si="58"/>
        <v>-397.11000000000058</v>
      </c>
      <c r="K174" s="47">
        <f>VLOOKUP($F$90,Tabisr,4)</f>
        <v>0.21360000000000001</v>
      </c>
      <c r="L174" s="44">
        <f>(F174-4244.01)*17.92%</f>
        <v>78.828287999999901</v>
      </c>
      <c r="M174" s="52">
        <v>388.05</v>
      </c>
      <c r="N174" s="44">
        <f t="shared" si="59"/>
        <v>466.87828799999988</v>
      </c>
      <c r="O174" s="44">
        <f>VLOOKUP($F$174,Tabsub,3)</f>
        <v>0</v>
      </c>
      <c r="P174" s="44"/>
      <c r="Q174" s="44"/>
      <c r="R174" s="44"/>
      <c r="S174" s="44"/>
      <c r="T174" s="48">
        <f t="shared" si="60"/>
        <v>4217.0217119999998</v>
      </c>
      <c r="U174" s="46">
        <f t="shared" si="61"/>
        <v>4217.0217119999998</v>
      </c>
    </row>
    <row r="175" spans="1:21" s="10" customFormat="1" x14ac:dyDescent="0.3">
      <c r="A175" s="22">
        <v>90</v>
      </c>
      <c r="B175" s="14" t="s">
        <v>51</v>
      </c>
      <c r="C175" s="15" t="s">
        <v>99</v>
      </c>
      <c r="D175" s="43">
        <v>15</v>
      </c>
      <c r="E175" s="52">
        <v>214.1</v>
      </c>
      <c r="F175" s="52">
        <f t="shared" si="57"/>
        <v>3211.5</v>
      </c>
      <c r="G175" s="52"/>
      <c r="H175" s="52"/>
      <c r="I175" s="52">
        <f>VLOOKUP($F$175,Tabisr,1)</f>
        <v>2077.5100000000002</v>
      </c>
      <c r="J175" s="48">
        <f t="shared" si="58"/>
        <v>1133.9899999999998</v>
      </c>
      <c r="K175" s="53">
        <f>VLOOKUP($F$175,Tabisr,4)</f>
        <v>0.10879999999999999</v>
      </c>
      <c r="L175" s="52">
        <f>(F175-2077.51)*10.88%</f>
        <v>123.37811199999999</v>
      </c>
      <c r="M175" s="52">
        <v>121.95</v>
      </c>
      <c r="N175" s="52">
        <f t="shared" si="59"/>
        <v>245.32811199999998</v>
      </c>
      <c r="O175" s="52">
        <f>VLOOKUP($F$175,Tabsub,3)</f>
        <v>125.1</v>
      </c>
      <c r="P175" s="52"/>
      <c r="Q175" s="52"/>
      <c r="R175" s="52"/>
      <c r="S175" s="52"/>
      <c r="T175" s="48">
        <f t="shared" si="60"/>
        <v>3091.2718879999998</v>
      </c>
      <c r="U175" s="48">
        <f t="shared" si="61"/>
        <v>3091.2718879999998</v>
      </c>
    </row>
    <row r="176" spans="1:21" s="10" customFormat="1" x14ac:dyDescent="0.3">
      <c r="A176" s="24"/>
      <c r="B176" s="114"/>
      <c r="C176" s="115"/>
      <c r="D176" s="64"/>
      <c r="E176" s="64"/>
      <c r="F176" s="65">
        <f>+SUM(F167:F175)</f>
        <v>39043.350000000006</v>
      </c>
      <c r="G176" s="65">
        <f>+SUM(G167:G175)</f>
        <v>0</v>
      </c>
      <c r="H176" s="65">
        <f t="shared" ref="H176:U176" si="62">+SUM(H167:H175)</f>
        <v>0</v>
      </c>
      <c r="I176" s="65">
        <f t="shared" si="62"/>
        <v>33354.580000000009</v>
      </c>
      <c r="J176" s="65">
        <f t="shared" si="62"/>
        <v>5688.7699999999968</v>
      </c>
      <c r="K176" s="65">
        <f t="shared" si="62"/>
        <v>1.4432</v>
      </c>
      <c r="L176" s="65">
        <f t="shared" si="62"/>
        <v>1538.6077599999999</v>
      </c>
      <c r="M176" s="65">
        <f t="shared" si="62"/>
        <v>2704.05</v>
      </c>
      <c r="N176" s="65">
        <f t="shared" si="62"/>
        <v>4242.6577599999991</v>
      </c>
      <c r="O176" s="65">
        <f t="shared" si="62"/>
        <v>125.1</v>
      </c>
      <c r="P176" s="65">
        <f t="shared" si="62"/>
        <v>0</v>
      </c>
      <c r="Q176" s="65">
        <f t="shared" si="62"/>
        <v>0</v>
      </c>
      <c r="R176" s="65">
        <f t="shared" si="62"/>
        <v>0</v>
      </c>
      <c r="S176" s="65">
        <f t="shared" si="62"/>
        <v>0</v>
      </c>
      <c r="T176" s="65">
        <f t="shared" si="62"/>
        <v>34925.792240000002</v>
      </c>
      <c r="U176" s="65">
        <f t="shared" si="62"/>
        <v>34925.792240000002</v>
      </c>
    </row>
    <row r="177" spans="1:21" s="10" customFormat="1" x14ac:dyDescent="0.3">
      <c r="A177" s="24"/>
      <c r="B177" s="114"/>
      <c r="C177" s="115"/>
      <c r="D177" s="64"/>
      <c r="E177" s="64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</row>
    <row r="178" spans="1:21" s="10" customFormat="1" ht="18" x14ac:dyDescent="0.3">
      <c r="A178" s="173" t="s">
        <v>259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</row>
    <row r="179" spans="1:21" s="10" customFormat="1" ht="35.25" customHeight="1" x14ac:dyDescent="0.3">
      <c r="A179" s="21" t="s">
        <v>69</v>
      </c>
      <c r="B179" s="21" t="s">
        <v>17</v>
      </c>
      <c r="C179" s="21" t="s">
        <v>84</v>
      </c>
      <c r="D179" s="21" t="s">
        <v>27</v>
      </c>
      <c r="E179" s="21" t="s">
        <v>19</v>
      </c>
      <c r="F179" s="21" t="s">
        <v>18</v>
      </c>
      <c r="G179" s="21" t="s">
        <v>66</v>
      </c>
      <c r="H179" s="21" t="s">
        <v>74</v>
      </c>
      <c r="I179" s="37" t="s">
        <v>188</v>
      </c>
      <c r="J179" s="37" t="s">
        <v>189</v>
      </c>
      <c r="K179" s="37" t="s">
        <v>190</v>
      </c>
      <c r="L179" s="37" t="s">
        <v>191</v>
      </c>
      <c r="M179" s="21" t="s">
        <v>192</v>
      </c>
      <c r="N179" s="21" t="s">
        <v>67</v>
      </c>
      <c r="O179" s="21" t="s">
        <v>68</v>
      </c>
      <c r="P179" s="21" t="s">
        <v>20</v>
      </c>
      <c r="Q179" s="21" t="s">
        <v>299</v>
      </c>
      <c r="R179" s="21" t="s">
        <v>72</v>
      </c>
      <c r="S179" s="21" t="s">
        <v>82</v>
      </c>
      <c r="T179" s="21" t="s">
        <v>80</v>
      </c>
      <c r="U179" s="21" t="s">
        <v>81</v>
      </c>
    </row>
    <row r="180" spans="1:21" s="10" customFormat="1" x14ac:dyDescent="0.3">
      <c r="A180" s="22">
        <v>91</v>
      </c>
      <c r="B180" s="14" t="s">
        <v>2</v>
      </c>
      <c r="C180" s="14" t="s">
        <v>156</v>
      </c>
      <c r="D180" s="43">
        <v>15</v>
      </c>
      <c r="E180" s="52">
        <v>661.33</v>
      </c>
      <c r="F180" s="52">
        <f t="shared" ref="F180:F188" si="63">D180*E180</f>
        <v>9919.9500000000007</v>
      </c>
      <c r="G180" s="52"/>
      <c r="H180" s="52"/>
      <c r="I180" s="52">
        <f>VLOOKUP($F$180,Tabisr,1)</f>
        <v>5081.01</v>
      </c>
      <c r="J180" s="48">
        <f t="shared" ref="J180:J188" si="64">+F180-I180</f>
        <v>4838.9400000000005</v>
      </c>
      <c r="K180" s="53">
        <f>VLOOKUP($F$180,Tabisr,4)</f>
        <v>0.21360000000000001</v>
      </c>
      <c r="L180" s="52">
        <f>(F180-5081.01)*21.36%</f>
        <v>1033.5975840000001</v>
      </c>
      <c r="M180" s="52">
        <v>538.20000000000005</v>
      </c>
      <c r="N180" s="52">
        <f t="shared" ref="N180:N188" si="65">L180+M180</f>
        <v>1571.7975840000001</v>
      </c>
      <c r="O180" s="52">
        <f>VLOOKUP($F$180,Tabsub,3)</f>
        <v>0</v>
      </c>
      <c r="P180" s="52"/>
      <c r="Q180" s="52"/>
      <c r="R180" s="52"/>
      <c r="S180" s="52"/>
      <c r="T180" s="48">
        <f t="shared" ref="T180:T186" si="66">F180+G180+H180-N180+O180-P180-Q180-R180-S180</f>
        <v>8348.1524160000008</v>
      </c>
      <c r="U180" s="48">
        <f t="shared" ref="U180:U186" si="67">T180-G180</f>
        <v>8348.1524160000008</v>
      </c>
    </row>
    <row r="181" spans="1:21" s="10" customFormat="1" x14ac:dyDescent="0.3">
      <c r="A181" s="22">
        <v>92</v>
      </c>
      <c r="B181" s="14" t="s">
        <v>49</v>
      </c>
      <c r="C181" s="15" t="s">
        <v>86</v>
      </c>
      <c r="D181" s="43">
        <v>15</v>
      </c>
      <c r="E181" s="52">
        <v>263.56</v>
      </c>
      <c r="F181" s="52">
        <f t="shared" si="63"/>
        <v>3953.4</v>
      </c>
      <c r="G181" s="52"/>
      <c r="H181" s="52">
        <v>0</v>
      </c>
      <c r="I181" s="52">
        <f>VLOOKUP($F$181,Tabisr,1)</f>
        <v>3651.01</v>
      </c>
      <c r="J181" s="48">
        <f t="shared" si="64"/>
        <v>302.38999999999987</v>
      </c>
      <c r="K181" s="53">
        <f>VLOOKUP($F$181,Tabisr,4)</f>
        <v>0.16</v>
      </c>
      <c r="L181" s="52">
        <f>(F181-3651.01)*16%+0.18</f>
        <v>48.562399999999982</v>
      </c>
      <c r="M181" s="52">
        <v>293.25</v>
      </c>
      <c r="N181" s="52">
        <v>309.77999999999997</v>
      </c>
      <c r="O181" s="52">
        <f>VLOOKUP($F$181,Tabsub,3)</f>
        <v>0</v>
      </c>
      <c r="P181" s="52"/>
      <c r="Q181" s="52"/>
      <c r="R181" s="52"/>
      <c r="S181" s="52"/>
      <c r="T181" s="48">
        <f t="shared" si="66"/>
        <v>3643.62</v>
      </c>
      <c r="U181" s="48">
        <f t="shared" si="67"/>
        <v>3643.62</v>
      </c>
    </row>
    <row r="182" spans="1:21" s="10" customFormat="1" x14ac:dyDescent="0.3">
      <c r="A182" s="22">
        <v>93</v>
      </c>
      <c r="B182" s="14" t="s">
        <v>47</v>
      </c>
      <c r="C182" s="109" t="s">
        <v>103</v>
      </c>
      <c r="D182" s="43">
        <v>15</v>
      </c>
      <c r="E182" s="44">
        <v>220.57</v>
      </c>
      <c r="F182" s="44">
        <f t="shared" si="63"/>
        <v>3308.5499999999997</v>
      </c>
      <c r="G182" s="44"/>
      <c r="H182" s="52">
        <v>0</v>
      </c>
      <c r="I182" s="44">
        <f>VLOOKUP($F$182,Tabisr,1)</f>
        <v>2077.5100000000002</v>
      </c>
      <c r="J182" s="46">
        <f t="shared" si="64"/>
        <v>1231.0399999999995</v>
      </c>
      <c r="K182" s="47">
        <f>VLOOKUP($F$182,Tabisr,4)</f>
        <v>0.10879999999999999</v>
      </c>
      <c r="L182" s="44">
        <f t="shared" ref="L182:L188" si="68">(F182-2077.51)*10.88%</f>
        <v>133.93715199999997</v>
      </c>
      <c r="M182" s="44">
        <v>121.95</v>
      </c>
      <c r="N182" s="44">
        <v>237.77</v>
      </c>
      <c r="O182" s="44">
        <f t="shared" ref="O182:O188" si="69">VLOOKUP($F$182,Tabsub,3)</f>
        <v>125.1</v>
      </c>
      <c r="P182" s="44"/>
      <c r="Q182" s="44"/>
      <c r="R182" s="44"/>
      <c r="S182" s="52"/>
      <c r="T182" s="48">
        <f t="shared" si="66"/>
        <v>3195.8799999999997</v>
      </c>
      <c r="U182" s="46">
        <f t="shared" si="67"/>
        <v>3195.8799999999997</v>
      </c>
    </row>
    <row r="183" spans="1:21" s="10" customFormat="1" x14ac:dyDescent="0.3">
      <c r="A183" s="22">
        <v>94</v>
      </c>
      <c r="B183" s="14" t="s">
        <v>206</v>
      </c>
      <c r="C183" s="15" t="s">
        <v>103</v>
      </c>
      <c r="D183" s="43">
        <v>15</v>
      </c>
      <c r="E183" s="52">
        <v>220.57300000000001</v>
      </c>
      <c r="F183" s="52">
        <f t="shared" si="63"/>
        <v>3308.5950000000003</v>
      </c>
      <c r="G183" s="52"/>
      <c r="H183" s="52"/>
      <c r="I183" s="52">
        <f>VLOOKUP($F$182,Tabisr,1)</f>
        <v>2077.5100000000002</v>
      </c>
      <c r="J183" s="48">
        <f t="shared" si="64"/>
        <v>1231.085</v>
      </c>
      <c r="K183" s="53">
        <f>VLOOKUP($F$182,Tabisr,4)</f>
        <v>0.10879999999999999</v>
      </c>
      <c r="L183" s="44">
        <f t="shared" si="68"/>
        <v>133.942048</v>
      </c>
      <c r="M183" s="44">
        <v>121.95</v>
      </c>
      <c r="N183" s="44">
        <f t="shared" si="65"/>
        <v>255.89204799999999</v>
      </c>
      <c r="O183" s="52">
        <f t="shared" si="69"/>
        <v>125.1</v>
      </c>
      <c r="P183" s="52"/>
      <c r="Q183" s="52"/>
      <c r="R183" s="52"/>
      <c r="S183" s="52"/>
      <c r="T183" s="48">
        <f t="shared" si="66"/>
        <v>3177.802952</v>
      </c>
      <c r="U183" s="46">
        <f t="shared" si="67"/>
        <v>3177.802952</v>
      </c>
    </row>
    <row r="184" spans="1:21" s="10" customFormat="1" x14ac:dyDescent="0.3">
      <c r="A184" s="22">
        <v>95</v>
      </c>
      <c r="B184" s="14" t="s">
        <v>200</v>
      </c>
      <c r="C184" s="109" t="s">
        <v>103</v>
      </c>
      <c r="D184" s="43">
        <v>15</v>
      </c>
      <c r="E184" s="52">
        <v>220.57300000000001</v>
      </c>
      <c r="F184" s="44">
        <f t="shared" si="63"/>
        <v>3308.5950000000003</v>
      </c>
      <c r="G184" s="44"/>
      <c r="H184" s="52">
        <v>0</v>
      </c>
      <c r="I184" s="44">
        <f>VLOOKUP($F$182,Tabisr,1)</f>
        <v>2077.5100000000002</v>
      </c>
      <c r="J184" s="46">
        <f t="shared" si="64"/>
        <v>1231.085</v>
      </c>
      <c r="K184" s="47">
        <f>VLOOKUP($F$182,Tabisr,4)</f>
        <v>0.10879999999999999</v>
      </c>
      <c r="L184" s="44">
        <f t="shared" si="68"/>
        <v>133.942048</v>
      </c>
      <c r="M184" s="44">
        <v>121.95</v>
      </c>
      <c r="N184" s="44">
        <f t="shared" si="65"/>
        <v>255.89204799999999</v>
      </c>
      <c r="O184" s="44">
        <f t="shared" si="69"/>
        <v>125.1</v>
      </c>
      <c r="P184" s="44"/>
      <c r="Q184" s="44"/>
      <c r="R184" s="44"/>
      <c r="S184" s="44"/>
      <c r="T184" s="48">
        <f t="shared" si="66"/>
        <v>3177.802952</v>
      </c>
      <c r="U184" s="46">
        <f t="shared" si="67"/>
        <v>3177.802952</v>
      </c>
    </row>
    <row r="185" spans="1:21" s="10" customFormat="1" x14ac:dyDescent="0.3">
      <c r="A185" s="22">
        <v>96</v>
      </c>
      <c r="B185" s="108" t="s">
        <v>201</v>
      </c>
      <c r="C185" s="109" t="s">
        <v>103</v>
      </c>
      <c r="D185" s="43">
        <v>15</v>
      </c>
      <c r="E185" s="52">
        <v>220.57300000000001</v>
      </c>
      <c r="F185" s="44">
        <f>D185*E185</f>
        <v>3308.5950000000003</v>
      </c>
      <c r="G185" s="44"/>
      <c r="H185" s="52">
        <v>0</v>
      </c>
      <c r="I185" s="44" t="e">
        <f>VLOOKUP(#REF!,Tabisr,1)</f>
        <v>#REF!</v>
      </c>
      <c r="J185" s="46" t="e">
        <f>+F185-I185</f>
        <v>#REF!</v>
      </c>
      <c r="K185" s="47" t="e">
        <f>VLOOKUP(#REF!,Tabisr,4)</f>
        <v>#REF!</v>
      </c>
      <c r="L185" s="44">
        <f t="shared" si="68"/>
        <v>133.942048</v>
      </c>
      <c r="M185" s="44">
        <v>121.95</v>
      </c>
      <c r="N185" s="44">
        <f>L185+M185</f>
        <v>255.89204799999999</v>
      </c>
      <c r="O185" s="44">
        <f t="shared" si="69"/>
        <v>125.1</v>
      </c>
      <c r="P185" s="44"/>
      <c r="Q185" s="44"/>
      <c r="R185" s="44"/>
      <c r="S185" s="44"/>
      <c r="T185" s="48">
        <f t="shared" si="66"/>
        <v>3177.802952</v>
      </c>
      <c r="U185" s="46">
        <f t="shared" si="67"/>
        <v>3177.802952</v>
      </c>
    </row>
    <row r="186" spans="1:21" s="10" customFormat="1" x14ac:dyDescent="0.3">
      <c r="A186" s="22">
        <v>97</v>
      </c>
      <c r="B186" s="108" t="s">
        <v>202</v>
      </c>
      <c r="C186" s="109" t="s">
        <v>103</v>
      </c>
      <c r="D186" s="43">
        <v>15</v>
      </c>
      <c r="E186" s="52">
        <v>220.57300000000001</v>
      </c>
      <c r="F186" s="44">
        <f>D186*E186</f>
        <v>3308.5950000000003</v>
      </c>
      <c r="G186" s="44"/>
      <c r="H186" s="52"/>
      <c r="I186" s="44" t="e">
        <f>VLOOKUP(#REF!,Tabisr,1)</f>
        <v>#REF!</v>
      </c>
      <c r="J186" s="46" t="e">
        <f>+F186-I186</f>
        <v>#REF!</v>
      </c>
      <c r="K186" s="47" t="e">
        <f>VLOOKUP(#REF!,Tabisr,4)</f>
        <v>#REF!</v>
      </c>
      <c r="L186" s="44">
        <f t="shared" si="68"/>
        <v>133.942048</v>
      </c>
      <c r="M186" s="44">
        <v>121.95</v>
      </c>
      <c r="N186" s="44">
        <v>255.89</v>
      </c>
      <c r="O186" s="44">
        <f t="shared" si="69"/>
        <v>125.1</v>
      </c>
      <c r="P186" s="44"/>
      <c r="Q186" s="44"/>
      <c r="R186" s="44"/>
      <c r="S186" s="44"/>
      <c r="T186" s="48">
        <f t="shared" si="66"/>
        <v>3177.8050000000003</v>
      </c>
      <c r="U186" s="46">
        <f t="shared" si="67"/>
        <v>3177.8050000000003</v>
      </c>
    </row>
    <row r="187" spans="1:21" s="10" customFormat="1" x14ac:dyDescent="0.3">
      <c r="A187" s="22">
        <v>98</v>
      </c>
      <c r="B187" s="14" t="s">
        <v>417</v>
      </c>
      <c r="C187" s="15" t="s">
        <v>103</v>
      </c>
      <c r="D187" s="43">
        <v>15</v>
      </c>
      <c r="E187" s="52">
        <v>220.57300000000001</v>
      </c>
      <c r="F187" s="44">
        <f>D187*E187</f>
        <v>3308.5950000000003</v>
      </c>
      <c r="G187" s="44"/>
      <c r="H187" s="52">
        <v>0</v>
      </c>
      <c r="I187" s="44" t="e">
        <f>VLOOKUP(#REF!,Tabisr,1)</f>
        <v>#REF!</v>
      </c>
      <c r="J187" s="46" t="e">
        <f>+F187-I187</f>
        <v>#REF!</v>
      </c>
      <c r="K187" s="47" t="e">
        <f>VLOOKUP(#REF!,Tabisr,4)</f>
        <v>#REF!</v>
      </c>
      <c r="L187" s="44">
        <f t="shared" ref="L187" si="70">(F187-2077.51)*10.88%</f>
        <v>133.942048</v>
      </c>
      <c r="M187" s="44">
        <v>121.95</v>
      </c>
      <c r="N187" s="44">
        <f>L187+M187</f>
        <v>255.89204799999999</v>
      </c>
      <c r="O187" s="44">
        <f t="shared" si="69"/>
        <v>125.1</v>
      </c>
      <c r="P187" s="44"/>
      <c r="Q187" s="44"/>
      <c r="R187" s="44"/>
      <c r="S187" s="44"/>
      <c r="T187" s="48">
        <f t="shared" ref="T187" si="71">F187+G187+H187-N187+O187-P187-Q187-R187-S187</f>
        <v>3177.802952</v>
      </c>
      <c r="U187" s="46">
        <f>T187-G187</f>
        <v>3177.802952</v>
      </c>
    </row>
    <row r="188" spans="1:21" s="10" customFormat="1" x14ac:dyDescent="0.3">
      <c r="A188" s="22">
        <v>99</v>
      </c>
      <c r="B188" s="108" t="s">
        <v>48</v>
      </c>
      <c r="C188" s="109" t="s">
        <v>103</v>
      </c>
      <c r="D188" s="43">
        <v>15</v>
      </c>
      <c r="E188" s="52">
        <v>220.57300000000001</v>
      </c>
      <c r="F188" s="44">
        <f t="shared" si="63"/>
        <v>3308.5950000000003</v>
      </c>
      <c r="G188" s="44"/>
      <c r="H188" s="52"/>
      <c r="I188" s="44">
        <f>VLOOKUP($F$188,Tabisr,1)</f>
        <v>2077.5100000000002</v>
      </c>
      <c r="J188" s="46">
        <f t="shared" si="64"/>
        <v>1231.085</v>
      </c>
      <c r="K188" s="47">
        <f>VLOOKUP($F$188,Tabisr,4)</f>
        <v>0.10879999999999999</v>
      </c>
      <c r="L188" s="44">
        <f t="shared" si="68"/>
        <v>133.942048</v>
      </c>
      <c r="M188" s="44">
        <v>121.95</v>
      </c>
      <c r="N188" s="44">
        <f t="shared" si="65"/>
        <v>255.89204799999999</v>
      </c>
      <c r="O188" s="44">
        <f t="shared" si="69"/>
        <v>125.1</v>
      </c>
      <c r="P188" s="44"/>
      <c r="Q188" s="44"/>
      <c r="R188" s="44"/>
      <c r="S188" s="44"/>
      <c r="T188" s="48">
        <f>F188+G188+H188-N188+O188-P188-Q188-R188-S188</f>
        <v>3177.802952</v>
      </c>
      <c r="U188" s="46">
        <f>T188-G188</f>
        <v>3177.802952</v>
      </c>
    </row>
    <row r="189" spans="1:21" s="10" customFormat="1" x14ac:dyDescent="0.3">
      <c r="A189" s="24"/>
      <c r="B189" s="117"/>
      <c r="C189" s="19"/>
      <c r="D189" s="49"/>
      <c r="E189" s="50"/>
      <c r="F189" s="51">
        <f>+SUM(F180:F188)</f>
        <v>37033.470000000008</v>
      </c>
      <c r="G189" s="51">
        <f>+SUM(G180:G188)</f>
        <v>0</v>
      </c>
      <c r="H189" s="51">
        <f t="shared" ref="H189:U189" si="72">+SUM(H180:H188)</f>
        <v>0</v>
      </c>
      <c r="I189" s="51" t="e">
        <f t="shared" si="72"/>
        <v>#REF!</v>
      </c>
      <c r="J189" s="51" t="e">
        <f t="shared" si="72"/>
        <v>#REF!</v>
      </c>
      <c r="K189" s="51" t="e">
        <f t="shared" si="72"/>
        <v>#REF!</v>
      </c>
      <c r="L189" s="51">
        <f t="shared" si="72"/>
        <v>2019.7494239999996</v>
      </c>
      <c r="M189" s="51">
        <f t="shared" si="72"/>
        <v>1685.1000000000004</v>
      </c>
      <c r="N189" s="51">
        <f t="shared" si="72"/>
        <v>3654.6978240000008</v>
      </c>
      <c r="O189" s="51">
        <f t="shared" si="72"/>
        <v>875.7</v>
      </c>
      <c r="P189" s="51">
        <f t="shared" si="72"/>
        <v>0</v>
      </c>
      <c r="Q189" s="51">
        <f t="shared" si="72"/>
        <v>0</v>
      </c>
      <c r="R189" s="51">
        <f t="shared" si="72"/>
        <v>0</v>
      </c>
      <c r="S189" s="51">
        <f t="shared" si="72"/>
        <v>0</v>
      </c>
      <c r="T189" s="51">
        <f t="shared" si="72"/>
        <v>34254.472175999996</v>
      </c>
      <c r="U189" s="51">
        <f t="shared" si="72"/>
        <v>34254.472175999996</v>
      </c>
    </row>
    <row r="190" spans="1:21" s="10" customFormat="1" x14ac:dyDescent="0.3">
      <c r="A190" s="24"/>
      <c r="B190" s="118"/>
      <c r="C190" s="115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74"/>
      <c r="U190" s="64"/>
    </row>
    <row r="191" spans="1:21" s="10" customFormat="1" x14ac:dyDescent="0.3">
      <c r="A191" s="24"/>
      <c r="B191" s="114"/>
      <c r="C191" s="115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</row>
    <row r="192" spans="1:21" s="10" customFormat="1" ht="18" x14ac:dyDescent="0.3">
      <c r="A192" s="173" t="s">
        <v>402</v>
      </c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</row>
    <row r="193" spans="1:21" s="10" customFormat="1" ht="37.5" customHeight="1" x14ac:dyDescent="0.3">
      <c r="A193" s="21" t="s">
        <v>69</v>
      </c>
      <c r="B193" s="21" t="s">
        <v>17</v>
      </c>
      <c r="C193" s="21" t="s">
        <v>84</v>
      </c>
      <c r="D193" s="21" t="s">
        <v>27</v>
      </c>
      <c r="E193" s="21" t="s">
        <v>19</v>
      </c>
      <c r="F193" s="21" t="s">
        <v>18</v>
      </c>
      <c r="G193" s="21" t="s">
        <v>66</v>
      </c>
      <c r="H193" s="21" t="s">
        <v>74</v>
      </c>
      <c r="I193" s="37" t="s">
        <v>188</v>
      </c>
      <c r="J193" s="37" t="s">
        <v>189</v>
      </c>
      <c r="K193" s="37" t="s">
        <v>190</v>
      </c>
      <c r="L193" s="37" t="s">
        <v>191</v>
      </c>
      <c r="M193" s="21" t="s">
        <v>192</v>
      </c>
      <c r="N193" s="21" t="s">
        <v>67</v>
      </c>
      <c r="O193" s="21" t="s">
        <v>68</v>
      </c>
      <c r="P193" s="21" t="s">
        <v>20</v>
      </c>
      <c r="Q193" s="21" t="s">
        <v>299</v>
      </c>
      <c r="R193" s="21" t="s">
        <v>72</v>
      </c>
      <c r="S193" s="21" t="s">
        <v>82</v>
      </c>
      <c r="T193" s="21" t="s">
        <v>80</v>
      </c>
      <c r="U193" s="21" t="s">
        <v>81</v>
      </c>
    </row>
    <row r="194" spans="1:21" s="10" customFormat="1" ht="21" customHeight="1" x14ac:dyDescent="0.3">
      <c r="A194" s="22">
        <v>100</v>
      </c>
      <c r="B194" s="14" t="s">
        <v>0</v>
      </c>
      <c r="C194" s="14" t="s">
        <v>195</v>
      </c>
      <c r="D194" s="43">
        <v>15</v>
      </c>
      <c r="E194" s="52">
        <v>661.33</v>
      </c>
      <c r="F194" s="52">
        <f>D194*E194</f>
        <v>9919.9500000000007</v>
      </c>
      <c r="G194" s="52"/>
      <c r="H194" s="22"/>
      <c r="I194" s="52">
        <f>VLOOKUP($F$194,Tabisr,1)</f>
        <v>5081.01</v>
      </c>
      <c r="J194" s="48">
        <f t="shared" ref="J194:J209" si="73">+F194-I194</f>
        <v>4838.9400000000005</v>
      </c>
      <c r="K194" s="53">
        <f>VLOOKUP($F$194,Tabisr,4)</f>
        <v>0.21360000000000001</v>
      </c>
      <c r="L194" s="52">
        <f>(F194-5081.01)*21.36%</f>
        <v>1033.5975840000001</v>
      </c>
      <c r="M194" s="52">
        <v>538.20000000000005</v>
      </c>
      <c r="N194" s="52">
        <f>L194+M194</f>
        <v>1571.7975840000001</v>
      </c>
      <c r="O194" s="52">
        <f>VLOOKUP($F$194,Tabsub,3)</f>
        <v>0</v>
      </c>
      <c r="P194" s="52"/>
      <c r="Q194" s="52"/>
      <c r="R194" s="52"/>
      <c r="S194" s="52"/>
      <c r="T194" s="48">
        <f t="shared" ref="T194:T203" si="74">F194+G194+H194-N194+O194-P194-Q194-R194-S194</f>
        <v>8348.1524160000008</v>
      </c>
      <c r="U194" s="48">
        <f t="shared" ref="U194:U203" si="75">T194-G194</f>
        <v>8348.1524160000008</v>
      </c>
    </row>
    <row r="195" spans="1:21" s="10" customFormat="1" x14ac:dyDescent="0.3">
      <c r="A195" s="22">
        <v>101</v>
      </c>
      <c r="B195" s="14" t="s">
        <v>121</v>
      </c>
      <c r="C195" s="14" t="s">
        <v>237</v>
      </c>
      <c r="D195" s="43">
        <v>15</v>
      </c>
      <c r="E195" s="52">
        <v>414.83</v>
      </c>
      <c r="F195" s="52">
        <f>D195*E195</f>
        <v>6222.45</v>
      </c>
      <c r="G195" s="52"/>
      <c r="H195" s="22"/>
      <c r="I195" s="52">
        <f>VLOOKUP($F$209,Tabisr,1)</f>
        <v>5081.01</v>
      </c>
      <c r="J195" s="48">
        <f t="shared" si="73"/>
        <v>1141.4399999999996</v>
      </c>
      <c r="K195" s="53">
        <f>VLOOKUP($F$209,Tabisr,4)</f>
        <v>0.21360000000000001</v>
      </c>
      <c r="L195" s="52">
        <f>+J195*K195</f>
        <v>243.81158399999993</v>
      </c>
      <c r="M195" s="52">
        <f>VLOOKUP($F$209,Tabisr,3)</f>
        <v>538.20000000000005</v>
      </c>
      <c r="N195" s="40">
        <f>+L195+M195</f>
        <v>782.01158399999997</v>
      </c>
      <c r="O195" s="52"/>
      <c r="P195" s="52"/>
      <c r="Q195" s="52"/>
      <c r="R195" s="52"/>
      <c r="S195" s="52"/>
      <c r="T195" s="48">
        <f t="shared" si="74"/>
        <v>5440.438416</v>
      </c>
      <c r="U195" s="48">
        <f t="shared" si="75"/>
        <v>5440.438416</v>
      </c>
    </row>
    <row r="196" spans="1:21" s="10" customFormat="1" x14ac:dyDescent="0.3">
      <c r="A196" s="22">
        <v>102</v>
      </c>
      <c r="B196" s="105" t="s">
        <v>118</v>
      </c>
      <c r="C196" s="105" t="s">
        <v>330</v>
      </c>
      <c r="D196" s="43">
        <v>15</v>
      </c>
      <c r="E196" s="40">
        <v>414.83</v>
      </c>
      <c r="F196" s="40">
        <f>D196*E196</f>
        <v>6222.45</v>
      </c>
      <c r="G196" s="40"/>
      <c r="H196" s="25"/>
      <c r="I196" s="40">
        <f>VLOOKUP($F$209,Tabisr,1)</f>
        <v>5081.01</v>
      </c>
      <c r="J196" s="41">
        <f>+F196-I196</f>
        <v>1141.4399999999996</v>
      </c>
      <c r="K196" s="42">
        <f>VLOOKUP($F$209,Tabisr,4)</f>
        <v>0.21360000000000001</v>
      </c>
      <c r="L196" s="40">
        <f>+J196*K196</f>
        <v>243.81158399999993</v>
      </c>
      <c r="M196" s="40">
        <f>VLOOKUP($F$209,Tabisr,3)</f>
        <v>538.20000000000005</v>
      </c>
      <c r="N196" s="40">
        <f>+L196+M196</f>
        <v>782.01158399999997</v>
      </c>
      <c r="O196" s="40"/>
      <c r="P196" s="40"/>
      <c r="Q196" s="40"/>
      <c r="R196" s="40"/>
      <c r="S196" s="40"/>
      <c r="T196" s="41">
        <f t="shared" si="74"/>
        <v>5440.438416</v>
      </c>
      <c r="U196" s="41">
        <f t="shared" si="75"/>
        <v>5440.438416</v>
      </c>
    </row>
    <row r="197" spans="1:21" s="10" customFormat="1" x14ac:dyDescent="0.3">
      <c r="A197" s="22">
        <v>103</v>
      </c>
      <c r="B197" s="14" t="s">
        <v>30</v>
      </c>
      <c r="C197" s="15" t="s">
        <v>86</v>
      </c>
      <c r="D197" s="43">
        <v>15</v>
      </c>
      <c r="E197" s="52">
        <v>263.56</v>
      </c>
      <c r="F197" s="52">
        <f>D197*E197</f>
        <v>3953.4</v>
      </c>
      <c r="G197" s="52"/>
      <c r="H197" s="54"/>
      <c r="I197" s="52">
        <f>VLOOKUP($F$197,Tabisr,1)</f>
        <v>3651.01</v>
      </c>
      <c r="J197" s="48">
        <f t="shared" si="73"/>
        <v>302.38999999999987</v>
      </c>
      <c r="K197" s="53">
        <f>VLOOKUP($F$197,Tabisr,4)</f>
        <v>0.16</v>
      </c>
      <c r="L197" s="52">
        <f>(F197-3651.01)*16%</f>
        <v>48.382399999999983</v>
      </c>
      <c r="M197" s="52">
        <v>293.25</v>
      </c>
      <c r="N197" s="52">
        <f t="shared" ref="N197:N208" si="76">L197+M197</f>
        <v>341.63239999999996</v>
      </c>
      <c r="O197" s="52">
        <f>VLOOKUP($F$197,Tabsub,3)</f>
        <v>0</v>
      </c>
      <c r="P197" s="52"/>
      <c r="Q197" s="52"/>
      <c r="R197" s="52"/>
      <c r="S197" s="52"/>
      <c r="T197" s="48">
        <f t="shared" si="74"/>
        <v>3611.7676000000001</v>
      </c>
      <c r="U197" s="48">
        <f t="shared" si="75"/>
        <v>3611.7676000000001</v>
      </c>
    </row>
    <row r="198" spans="1:21" s="10" customFormat="1" ht="20.25" customHeight="1" x14ac:dyDescent="0.3">
      <c r="A198" s="22">
        <v>104</v>
      </c>
      <c r="B198" s="14" t="s">
        <v>217</v>
      </c>
      <c r="C198" s="14" t="s">
        <v>86</v>
      </c>
      <c r="D198" s="43">
        <v>15</v>
      </c>
      <c r="E198" s="67">
        <v>263.56</v>
      </c>
      <c r="F198" s="52">
        <f>D198*E198</f>
        <v>3953.4</v>
      </c>
      <c r="G198" s="52"/>
      <c r="H198" s="22"/>
      <c r="I198" s="52">
        <f>VLOOKUP($F$28,Tabisr,1)</f>
        <v>3651.01</v>
      </c>
      <c r="J198" s="48">
        <f>+F198-I198</f>
        <v>302.38999999999987</v>
      </c>
      <c r="K198" s="53">
        <f>VLOOKUP($F$28,Tabisr,4)</f>
        <v>0.16</v>
      </c>
      <c r="L198" s="52">
        <f>(F198-3651.01)*16%</f>
        <v>48.382399999999983</v>
      </c>
      <c r="M198" s="52">
        <v>293.25</v>
      </c>
      <c r="N198" s="52">
        <f>M198+L198</f>
        <v>341.63239999999996</v>
      </c>
      <c r="O198" s="75"/>
      <c r="P198" s="75"/>
      <c r="Q198" s="75"/>
      <c r="R198" s="75"/>
      <c r="S198" s="75"/>
      <c r="T198" s="48">
        <f t="shared" si="74"/>
        <v>3611.7676000000001</v>
      </c>
      <c r="U198" s="76">
        <f t="shared" si="75"/>
        <v>3611.7676000000001</v>
      </c>
    </row>
    <row r="199" spans="1:21" s="10" customFormat="1" x14ac:dyDescent="0.3">
      <c r="A199" s="22">
        <v>105</v>
      </c>
      <c r="B199" s="108" t="s">
        <v>424</v>
      </c>
      <c r="C199" s="109" t="s">
        <v>108</v>
      </c>
      <c r="D199" s="43">
        <v>15</v>
      </c>
      <c r="E199" s="44">
        <v>358.47</v>
      </c>
      <c r="F199" s="44">
        <f t="shared" ref="F199:F209" si="77">D199*E199</f>
        <v>5377.05</v>
      </c>
      <c r="G199" s="44"/>
      <c r="H199" s="46"/>
      <c r="I199" s="44">
        <f>VLOOKUP($F$199,Tabisr,1)</f>
        <v>5081.01</v>
      </c>
      <c r="J199" s="46">
        <f t="shared" si="73"/>
        <v>296.03999999999996</v>
      </c>
      <c r="K199" s="47">
        <f>VLOOKUP($F$199,Tabisr,4)</f>
        <v>0.21360000000000001</v>
      </c>
      <c r="L199" s="44">
        <f>(F199-5081.011)*21.36%</f>
        <v>63.233930399999942</v>
      </c>
      <c r="M199" s="52">
        <v>538.20000000000005</v>
      </c>
      <c r="N199" s="44">
        <f t="shared" si="76"/>
        <v>601.43393040000001</v>
      </c>
      <c r="O199" s="44">
        <f>VLOOKUP($F$199,Tabsub,3)</f>
        <v>0</v>
      </c>
      <c r="P199" s="44"/>
      <c r="Q199" s="44"/>
      <c r="R199" s="44"/>
      <c r="S199" s="44"/>
      <c r="T199" s="48">
        <f t="shared" si="74"/>
        <v>4775.6160696000006</v>
      </c>
      <c r="U199" s="46">
        <f t="shared" si="75"/>
        <v>4775.6160696000006</v>
      </c>
    </row>
    <row r="200" spans="1:21" s="10" customFormat="1" x14ac:dyDescent="0.3">
      <c r="A200" s="22">
        <v>106</v>
      </c>
      <c r="B200" s="14" t="s">
        <v>390</v>
      </c>
      <c r="C200" s="15" t="s">
        <v>108</v>
      </c>
      <c r="D200" s="43">
        <v>15</v>
      </c>
      <c r="E200" s="52">
        <v>358.47</v>
      </c>
      <c r="F200" s="52">
        <f>D200*E200</f>
        <v>5377.05</v>
      </c>
      <c r="G200" s="52"/>
      <c r="H200" s="48"/>
      <c r="I200" s="52">
        <f>VLOOKUP($F$199,Tabisr,1)</f>
        <v>5081.01</v>
      </c>
      <c r="J200" s="48">
        <f>+F200-I200</f>
        <v>296.03999999999996</v>
      </c>
      <c r="K200" s="53">
        <f>VLOOKUP($F$199,Tabisr,4)</f>
        <v>0.21360000000000001</v>
      </c>
      <c r="L200" s="52">
        <f>(F200-5081.011)*21.36%</f>
        <v>63.233930399999942</v>
      </c>
      <c r="M200" s="52">
        <v>538.20000000000005</v>
      </c>
      <c r="N200" s="52">
        <f>L200+M200</f>
        <v>601.43393040000001</v>
      </c>
      <c r="O200" s="52">
        <f>VLOOKUP($F$199,Tabsub,3)</f>
        <v>0</v>
      </c>
      <c r="P200" s="52"/>
      <c r="Q200" s="52"/>
      <c r="R200" s="52"/>
      <c r="S200" s="52"/>
      <c r="T200" s="48">
        <f t="shared" si="74"/>
        <v>4775.6160696000006</v>
      </c>
      <c r="U200" s="48">
        <f t="shared" si="75"/>
        <v>4775.6160696000006</v>
      </c>
    </row>
    <row r="201" spans="1:21" s="10" customFormat="1" x14ac:dyDescent="0.3">
      <c r="A201" s="22">
        <v>107</v>
      </c>
      <c r="B201" s="14" t="s">
        <v>334</v>
      </c>
      <c r="C201" s="14" t="s">
        <v>108</v>
      </c>
      <c r="D201" s="43">
        <v>15</v>
      </c>
      <c r="E201" s="44">
        <v>358.47</v>
      </c>
      <c r="F201" s="44">
        <f>D201*E201</f>
        <v>5377.05</v>
      </c>
      <c r="G201" s="44"/>
      <c r="H201" s="46"/>
      <c r="I201" s="44">
        <f>VLOOKUP($F$199,Tabisr,1)</f>
        <v>5081.01</v>
      </c>
      <c r="J201" s="46">
        <f>+F201-I201</f>
        <v>296.03999999999996</v>
      </c>
      <c r="K201" s="47">
        <f>VLOOKUP($F$199,Tabisr,4)</f>
        <v>0.21360000000000001</v>
      </c>
      <c r="L201" s="44">
        <f>(F201-5081.011)*21.36%</f>
        <v>63.233930399999942</v>
      </c>
      <c r="M201" s="52">
        <v>538.20000000000005</v>
      </c>
      <c r="N201" s="44">
        <f>L201+M201</f>
        <v>601.43393040000001</v>
      </c>
      <c r="O201" s="44">
        <f>VLOOKUP($F$199,Tabsub,3)</f>
        <v>0</v>
      </c>
      <c r="P201" s="44"/>
      <c r="Q201" s="44"/>
      <c r="R201" s="44"/>
      <c r="S201" s="44"/>
      <c r="T201" s="48">
        <f t="shared" si="74"/>
        <v>4775.6160696000006</v>
      </c>
      <c r="U201" s="46">
        <f t="shared" si="75"/>
        <v>4775.6160696000006</v>
      </c>
    </row>
    <row r="202" spans="1:21" s="10" customFormat="1" x14ac:dyDescent="0.3">
      <c r="A202" s="22">
        <v>108</v>
      </c>
      <c r="B202" s="14" t="s">
        <v>122</v>
      </c>
      <c r="C202" s="15" t="s">
        <v>108</v>
      </c>
      <c r="D202" s="43">
        <v>15</v>
      </c>
      <c r="E202" s="52">
        <v>358.47</v>
      </c>
      <c r="F202" s="52">
        <f>D202*E202</f>
        <v>5377.05</v>
      </c>
      <c r="G202" s="52"/>
      <c r="H202" s="22"/>
      <c r="I202" s="52">
        <f>VLOOKUP($F$199,Tabisr,1)</f>
        <v>5081.01</v>
      </c>
      <c r="J202" s="48">
        <f>+F202-I202</f>
        <v>296.03999999999996</v>
      </c>
      <c r="K202" s="53">
        <f>VLOOKUP($F$199,Tabisr,4)</f>
        <v>0.21360000000000001</v>
      </c>
      <c r="L202" s="52">
        <f>(F202-5081.011)*21.36%</f>
        <v>63.233930399999942</v>
      </c>
      <c r="M202" s="52">
        <v>538.20000000000005</v>
      </c>
      <c r="N202" s="52">
        <f>L202+M202</f>
        <v>601.43393040000001</v>
      </c>
      <c r="O202" s="52">
        <f>VLOOKUP($F$199,Tabsub,3)</f>
        <v>0</v>
      </c>
      <c r="P202" s="52"/>
      <c r="Q202" s="52"/>
      <c r="R202" s="52"/>
      <c r="S202" s="52"/>
      <c r="T202" s="48">
        <f t="shared" si="74"/>
        <v>4775.6160696000006</v>
      </c>
      <c r="U202" s="48">
        <f t="shared" si="75"/>
        <v>4775.6160696000006</v>
      </c>
    </row>
    <row r="203" spans="1:21" s="10" customFormat="1" x14ac:dyDescent="0.3">
      <c r="A203" s="22">
        <v>109</v>
      </c>
      <c r="B203" s="14" t="s">
        <v>324</v>
      </c>
      <c r="C203" s="14" t="s">
        <v>109</v>
      </c>
      <c r="D203" s="43">
        <v>15</v>
      </c>
      <c r="E203" s="52">
        <v>358.47</v>
      </c>
      <c r="F203" s="44">
        <f>D203*E203</f>
        <v>5377.05</v>
      </c>
      <c r="G203" s="44"/>
      <c r="H203" s="44"/>
      <c r="I203" s="44">
        <f>VLOOKUP($F$290,Tabisr,1)</f>
        <v>3651.01</v>
      </c>
      <c r="J203" s="46">
        <f>+F203-I203</f>
        <v>1726.04</v>
      </c>
      <c r="K203" s="47">
        <f>VLOOKUP($F$290,Tabisr,4)</f>
        <v>0.16</v>
      </c>
      <c r="L203" s="44">
        <f>(F203-3651.01)*16%</f>
        <v>276.16640000000001</v>
      </c>
      <c r="M203" s="44">
        <v>293.25</v>
      </c>
      <c r="N203" s="44">
        <f>L203+M203</f>
        <v>569.41640000000007</v>
      </c>
      <c r="O203" s="44"/>
      <c r="P203" s="40"/>
      <c r="Q203" s="40"/>
      <c r="R203" s="45"/>
      <c r="S203" s="45"/>
      <c r="T203" s="48">
        <f t="shared" si="74"/>
        <v>4807.6336000000001</v>
      </c>
      <c r="U203" s="46">
        <f t="shared" si="75"/>
        <v>4807.6336000000001</v>
      </c>
    </row>
    <row r="204" spans="1:21" s="10" customFormat="1" x14ac:dyDescent="0.3">
      <c r="A204" s="28">
        <v>110</v>
      </c>
      <c r="B204" s="111" t="s">
        <v>303</v>
      </c>
      <c r="C204" s="17" t="s">
        <v>109</v>
      </c>
      <c r="D204" s="58"/>
      <c r="E204" s="59"/>
      <c r="F204" s="59"/>
      <c r="G204" s="59"/>
      <c r="H204" s="59"/>
      <c r="I204" s="59"/>
      <c r="J204" s="61"/>
      <c r="K204" s="62"/>
      <c r="L204" s="59"/>
      <c r="M204" s="59"/>
      <c r="N204" s="59"/>
      <c r="O204" s="59"/>
      <c r="P204" s="60"/>
      <c r="Q204" s="60"/>
      <c r="R204" s="77"/>
      <c r="S204" s="77"/>
      <c r="T204" s="61"/>
      <c r="U204" s="61"/>
    </row>
    <row r="205" spans="1:21" s="10" customFormat="1" x14ac:dyDescent="0.3">
      <c r="A205" s="22">
        <v>111</v>
      </c>
      <c r="B205" s="14" t="s">
        <v>31</v>
      </c>
      <c r="C205" s="108" t="s">
        <v>232</v>
      </c>
      <c r="D205" s="43">
        <v>15</v>
      </c>
      <c r="E205" s="52">
        <v>312.26</v>
      </c>
      <c r="F205" s="52">
        <f t="shared" si="77"/>
        <v>4683.8999999999996</v>
      </c>
      <c r="G205" s="40"/>
      <c r="H205" s="40"/>
      <c r="I205" s="52">
        <f>VLOOKUP($F$90,Tabisr,1)</f>
        <v>5081.01</v>
      </c>
      <c r="J205" s="48">
        <f t="shared" si="73"/>
        <v>-397.11000000000058</v>
      </c>
      <c r="K205" s="53">
        <f>VLOOKUP($F$90,Tabisr,4)</f>
        <v>0.21360000000000001</v>
      </c>
      <c r="L205" s="44">
        <f>(F205-4244.01)*17.92%</f>
        <v>78.828287999999901</v>
      </c>
      <c r="M205" s="52">
        <v>388.05</v>
      </c>
      <c r="N205" s="44">
        <f t="shared" si="76"/>
        <v>466.87828799999988</v>
      </c>
      <c r="O205" s="78"/>
      <c r="P205" s="78"/>
      <c r="Q205" s="78"/>
      <c r="R205" s="78"/>
      <c r="S205" s="78"/>
      <c r="T205" s="48">
        <f>F205+G205+H205-N205+O205-P205-Q205-R205-S205</f>
        <v>4217.0217119999998</v>
      </c>
      <c r="U205" s="46">
        <f>T205-G205</f>
        <v>4217.0217119999998</v>
      </c>
    </row>
    <row r="206" spans="1:21" s="10" customFormat="1" x14ac:dyDescent="0.3">
      <c r="A206" s="22">
        <v>112</v>
      </c>
      <c r="B206" s="14" t="s">
        <v>40</v>
      </c>
      <c r="C206" s="15" t="s">
        <v>270</v>
      </c>
      <c r="D206" s="43">
        <v>15</v>
      </c>
      <c r="E206" s="67">
        <v>263.56</v>
      </c>
      <c r="F206" s="52">
        <f t="shared" si="77"/>
        <v>3953.4</v>
      </c>
      <c r="G206" s="52"/>
      <c r="H206" s="22"/>
      <c r="I206" s="52">
        <f>VLOOKUP($F$28,Tabisr,1)</f>
        <v>3651.01</v>
      </c>
      <c r="J206" s="48">
        <f t="shared" si="73"/>
        <v>302.38999999999987</v>
      </c>
      <c r="K206" s="53">
        <f>VLOOKUP($F$28,Tabisr,4)</f>
        <v>0.16</v>
      </c>
      <c r="L206" s="52">
        <f>(F206-3651.01)*16%</f>
        <v>48.382399999999983</v>
      </c>
      <c r="M206" s="52">
        <v>293.25</v>
      </c>
      <c r="N206" s="52">
        <f t="shared" si="76"/>
        <v>341.63239999999996</v>
      </c>
      <c r="O206" s="52">
        <v>0</v>
      </c>
      <c r="P206" s="52"/>
      <c r="Q206" s="52"/>
      <c r="R206" s="52"/>
      <c r="S206" s="52"/>
      <c r="T206" s="48">
        <f>F206+G206+H206-N206+O206-P206-Q206-R206-S206</f>
        <v>3611.7676000000001</v>
      </c>
      <c r="U206" s="48">
        <f>T206-G206</f>
        <v>3611.7676000000001</v>
      </c>
    </row>
    <row r="207" spans="1:21" s="10" customFormat="1" x14ac:dyDescent="0.3">
      <c r="A207" s="22">
        <v>113</v>
      </c>
      <c r="B207" s="14" t="s">
        <v>42</v>
      </c>
      <c r="C207" s="109" t="s">
        <v>231</v>
      </c>
      <c r="D207" s="43">
        <v>15</v>
      </c>
      <c r="E207" s="44">
        <v>263.56</v>
      </c>
      <c r="F207" s="44">
        <f t="shared" si="77"/>
        <v>3953.4</v>
      </c>
      <c r="G207" s="44"/>
      <c r="H207" s="52"/>
      <c r="I207" s="44">
        <f>VLOOKUP($F$207,Tabisr,1)</f>
        <v>3651.01</v>
      </c>
      <c r="J207" s="46">
        <f t="shared" si="73"/>
        <v>302.38999999999987</v>
      </c>
      <c r="K207" s="47">
        <f>VLOOKUP($F$207,Tabisr,4)</f>
        <v>0.16</v>
      </c>
      <c r="L207" s="44">
        <f>(F207-3651.01)*16%</f>
        <v>48.382399999999983</v>
      </c>
      <c r="M207" s="44">
        <v>293.25</v>
      </c>
      <c r="N207" s="44">
        <f t="shared" si="76"/>
        <v>341.63239999999996</v>
      </c>
      <c r="O207" s="44">
        <f>VLOOKUP($F$207,Tabsub,3)</f>
        <v>0</v>
      </c>
      <c r="P207" s="44"/>
      <c r="Q207" s="44"/>
      <c r="R207" s="44"/>
      <c r="S207" s="44"/>
      <c r="T207" s="48">
        <f>F207+G207+H207-N207+O207-P207-Q207-R207-S207</f>
        <v>3611.7676000000001</v>
      </c>
      <c r="U207" s="46">
        <f>T207-G207</f>
        <v>3611.7676000000001</v>
      </c>
    </row>
    <row r="208" spans="1:21" s="12" customFormat="1" x14ac:dyDescent="0.3">
      <c r="A208" s="22">
        <v>114</v>
      </c>
      <c r="B208" s="14" t="s">
        <v>208</v>
      </c>
      <c r="C208" s="15" t="s">
        <v>106</v>
      </c>
      <c r="D208" s="43">
        <v>15</v>
      </c>
      <c r="E208" s="52">
        <v>263.56</v>
      </c>
      <c r="F208" s="52">
        <f t="shared" si="77"/>
        <v>3953.4</v>
      </c>
      <c r="G208" s="52"/>
      <c r="H208" s="52"/>
      <c r="I208" s="52">
        <f>VLOOKUP($F$207,Tabisr,1)</f>
        <v>3651.01</v>
      </c>
      <c r="J208" s="48">
        <f t="shared" si="73"/>
        <v>302.38999999999987</v>
      </c>
      <c r="K208" s="53">
        <f>VLOOKUP($F$207,Tabisr,4)</f>
        <v>0.16</v>
      </c>
      <c r="L208" s="52">
        <f>(F208-3651.01)*16%</f>
        <v>48.382399999999983</v>
      </c>
      <c r="M208" s="52">
        <v>293.25</v>
      </c>
      <c r="N208" s="52">
        <f t="shared" si="76"/>
        <v>341.63239999999996</v>
      </c>
      <c r="O208" s="52">
        <f>VLOOKUP($F$207,Tabsub,3)</f>
        <v>0</v>
      </c>
      <c r="P208" s="52"/>
      <c r="Q208" s="52"/>
      <c r="R208" s="52"/>
      <c r="S208" s="52"/>
      <c r="T208" s="48">
        <f>F208+G208+H208-N208+O208-P208-Q208-R208-S208</f>
        <v>3611.7676000000001</v>
      </c>
      <c r="U208" s="48">
        <f>T208-G208</f>
        <v>3611.7676000000001</v>
      </c>
    </row>
    <row r="209" spans="1:21" s="10" customFormat="1" x14ac:dyDescent="0.3">
      <c r="A209" s="22">
        <v>115</v>
      </c>
      <c r="B209" s="14" t="s">
        <v>145</v>
      </c>
      <c r="C209" s="109" t="s">
        <v>110</v>
      </c>
      <c r="D209" s="43">
        <v>15</v>
      </c>
      <c r="E209" s="44">
        <v>414.83</v>
      </c>
      <c r="F209" s="44">
        <f t="shared" si="77"/>
        <v>6222.45</v>
      </c>
      <c r="G209" s="44"/>
      <c r="H209" s="44"/>
      <c r="I209" s="44">
        <f>VLOOKUP($F$209,Tabisr,1)</f>
        <v>5081.01</v>
      </c>
      <c r="J209" s="46">
        <f t="shared" si="73"/>
        <v>1141.4399999999996</v>
      </c>
      <c r="K209" s="47">
        <f>VLOOKUP($F$209,Tabisr,4)</f>
        <v>0.21360000000000001</v>
      </c>
      <c r="L209" s="44">
        <f>+J209*K209</f>
        <v>243.81158399999993</v>
      </c>
      <c r="M209" s="44">
        <f>VLOOKUP($F$209,Tabisr,3)</f>
        <v>538.20000000000005</v>
      </c>
      <c r="N209" s="44">
        <f>+L209+M209</f>
        <v>782.01158399999997</v>
      </c>
      <c r="O209" s="44">
        <f>VLOOKUP($F$209,Tabsub,3)</f>
        <v>0</v>
      </c>
      <c r="P209" s="45"/>
      <c r="Q209" s="45"/>
      <c r="R209" s="45"/>
      <c r="S209" s="45"/>
      <c r="T209" s="48">
        <f>F209+G209+H209-N209+O209-P209-Q209-R209-S209</f>
        <v>5440.438416</v>
      </c>
      <c r="U209" s="46">
        <f>T209-G209</f>
        <v>5440.438416</v>
      </c>
    </row>
    <row r="210" spans="1:21" s="10" customFormat="1" x14ac:dyDescent="0.3">
      <c r="A210" s="24"/>
      <c r="B210" s="114"/>
      <c r="C210" s="115"/>
      <c r="D210" s="64"/>
      <c r="E210" s="64"/>
      <c r="F210" s="65">
        <f>+SUM(F194:F209)</f>
        <v>79923.45</v>
      </c>
      <c r="G210" s="132">
        <f>+SUM(G194:G209)</f>
        <v>0</v>
      </c>
      <c r="H210" s="132">
        <f t="shared" ref="H210:U210" si="78">+SUM(H194:H209)</f>
        <v>0</v>
      </c>
      <c r="I210" s="132">
        <f t="shared" si="78"/>
        <v>67635.150000000023</v>
      </c>
      <c r="J210" s="132">
        <f t="shared" si="78"/>
        <v>12288.299999999996</v>
      </c>
      <c r="K210" s="132">
        <f t="shared" si="78"/>
        <v>2.8824000000000005</v>
      </c>
      <c r="L210" s="132">
        <f t="shared" si="78"/>
        <v>2614.8747455999996</v>
      </c>
      <c r="M210" s="132">
        <f t="shared" si="78"/>
        <v>6453.15</v>
      </c>
      <c r="N210" s="132">
        <f t="shared" si="78"/>
        <v>9068.0247456000016</v>
      </c>
      <c r="O210" s="132">
        <f t="shared" si="78"/>
        <v>0</v>
      </c>
      <c r="P210" s="132">
        <f t="shared" si="78"/>
        <v>0</v>
      </c>
      <c r="Q210" s="132">
        <f t="shared" si="78"/>
        <v>0</v>
      </c>
      <c r="R210" s="132">
        <f t="shared" si="78"/>
        <v>0</v>
      </c>
      <c r="S210" s="132">
        <f t="shared" si="78"/>
        <v>0</v>
      </c>
      <c r="T210" s="132">
        <f t="shared" si="78"/>
        <v>70855.425254400005</v>
      </c>
      <c r="U210" s="132">
        <f t="shared" si="78"/>
        <v>70855.425254400005</v>
      </c>
    </row>
    <row r="211" spans="1:21" s="10" customFormat="1" x14ac:dyDescent="0.3">
      <c r="A211" s="24"/>
      <c r="B211" s="114"/>
      <c r="C211" s="115"/>
      <c r="D211" s="64"/>
      <c r="E211" s="64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</row>
    <row r="212" spans="1:21" s="10" customFormat="1" x14ac:dyDescent="0.3">
      <c r="A212" s="24"/>
      <c r="B212" s="114"/>
      <c r="C212" s="115"/>
      <c r="D212" s="64"/>
      <c r="E212" s="64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</row>
    <row r="213" spans="1:21" ht="18.75" customHeight="1" x14ac:dyDescent="0.3">
      <c r="A213" s="175" t="s">
        <v>403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</row>
    <row r="214" spans="1:21" ht="33.75" customHeight="1" x14ac:dyDescent="0.3">
      <c r="A214" s="21" t="s">
        <v>69</v>
      </c>
      <c r="B214" s="21" t="s">
        <v>17</v>
      </c>
      <c r="C214" s="21" t="s">
        <v>84</v>
      </c>
      <c r="D214" s="21" t="s">
        <v>27</v>
      </c>
      <c r="E214" s="21" t="s">
        <v>19</v>
      </c>
      <c r="F214" s="21" t="s">
        <v>18</v>
      </c>
      <c r="G214" s="21" t="s">
        <v>66</v>
      </c>
      <c r="H214" s="21" t="s">
        <v>74</v>
      </c>
      <c r="I214" s="37" t="s">
        <v>188</v>
      </c>
      <c r="J214" s="37" t="s">
        <v>189</v>
      </c>
      <c r="K214" s="37" t="s">
        <v>190</v>
      </c>
      <c r="L214" s="37" t="s">
        <v>191</v>
      </c>
      <c r="M214" s="21" t="s">
        <v>192</v>
      </c>
      <c r="N214" s="21" t="s">
        <v>67</v>
      </c>
      <c r="O214" s="21" t="s">
        <v>68</v>
      </c>
      <c r="P214" s="21" t="s">
        <v>20</v>
      </c>
      <c r="Q214" s="21" t="s">
        <v>299</v>
      </c>
      <c r="R214" s="21" t="s">
        <v>72</v>
      </c>
      <c r="S214" s="21" t="s">
        <v>82</v>
      </c>
      <c r="T214" s="21" t="s">
        <v>80</v>
      </c>
      <c r="U214" s="21" t="s">
        <v>81</v>
      </c>
    </row>
    <row r="215" spans="1:21" ht="20.399999999999999" x14ac:dyDescent="0.3">
      <c r="A215" s="22">
        <v>116</v>
      </c>
      <c r="B215" s="14" t="s">
        <v>24</v>
      </c>
      <c r="C215" s="14" t="s">
        <v>405</v>
      </c>
      <c r="D215" s="43">
        <v>15</v>
      </c>
      <c r="E215" s="52">
        <v>661.33</v>
      </c>
      <c r="F215" s="52">
        <f>D215*E215</f>
        <v>9919.9500000000007</v>
      </c>
      <c r="G215" s="52"/>
      <c r="H215" s="52"/>
      <c r="I215" s="52">
        <f>VLOOKUP($F$215,Tabisr,1)</f>
        <v>5081.01</v>
      </c>
      <c r="J215" s="48">
        <f>+F215-I215</f>
        <v>4838.9400000000005</v>
      </c>
      <c r="K215" s="53">
        <f>VLOOKUP($F$215,Tabisr,4)</f>
        <v>0.21360000000000001</v>
      </c>
      <c r="L215" s="52">
        <f>(F215-5081.01)*21.36%</f>
        <v>1033.5975840000001</v>
      </c>
      <c r="M215" s="52">
        <v>538.20000000000005</v>
      </c>
      <c r="N215" s="52">
        <f>L215+M215</f>
        <v>1571.7975840000001</v>
      </c>
      <c r="O215" s="52">
        <f>VLOOKUP($F$215,Tabsub,3)</f>
        <v>0</v>
      </c>
      <c r="P215" s="52"/>
      <c r="Q215" s="52"/>
      <c r="R215" s="52"/>
      <c r="S215" s="52"/>
      <c r="T215" s="48">
        <f t="shared" ref="T215:T219" si="79">F215+G215+H215-N215+O215-P215-Q215-R215-S215</f>
        <v>8348.1524160000008</v>
      </c>
      <c r="U215" s="48">
        <f t="shared" ref="U215:U219" si="80">T215-G215</f>
        <v>8348.1524160000008</v>
      </c>
    </row>
    <row r="216" spans="1:21" ht="28.8" x14ac:dyDescent="0.3">
      <c r="A216" s="22">
        <v>117</v>
      </c>
      <c r="B216" s="14" t="s">
        <v>320</v>
      </c>
      <c r="C216" s="113" t="s">
        <v>404</v>
      </c>
      <c r="D216" s="43">
        <v>15</v>
      </c>
      <c r="E216" s="52">
        <v>414.83</v>
      </c>
      <c r="F216" s="52">
        <f>D216*E216</f>
        <v>6222.45</v>
      </c>
      <c r="G216" s="52"/>
      <c r="H216" s="22"/>
      <c r="I216" s="52">
        <f>VLOOKUP($F$209,Tabisr,1)</f>
        <v>5081.01</v>
      </c>
      <c r="J216" s="48">
        <f>+F216-I216</f>
        <v>1141.4399999999996</v>
      </c>
      <c r="K216" s="53">
        <f>VLOOKUP($F$209,Tabisr,4)</f>
        <v>0.21360000000000001</v>
      </c>
      <c r="L216" s="52">
        <f>+J216*K216</f>
        <v>243.81158399999993</v>
      </c>
      <c r="M216" s="52">
        <f>VLOOKUP($F$209,Tabisr,3)</f>
        <v>538.20000000000005</v>
      </c>
      <c r="N216" s="40">
        <f>+L216+M216</f>
        <v>782.01158399999997</v>
      </c>
      <c r="O216" s="52"/>
      <c r="P216" s="52"/>
      <c r="Q216" s="52"/>
      <c r="R216" s="52"/>
      <c r="S216" s="52"/>
      <c r="T216" s="48">
        <f t="shared" si="79"/>
        <v>5440.438416</v>
      </c>
      <c r="U216" s="48">
        <f t="shared" si="80"/>
        <v>5440.438416</v>
      </c>
    </row>
    <row r="217" spans="1:21" ht="21" customHeight="1" x14ac:dyDescent="0.3">
      <c r="A217" s="22">
        <v>118</v>
      </c>
      <c r="B217" s="14" t="s">
        <v>357</v>
      </c>
      <c r="C217" s="14" t="s">
        <v>356</v>
      </c>
      <c r="D217" s="43">
        <v>15</v>
      </c>
      <c r="E217" s="52">
        <v>312.26</v>
      </c>
      <c r="F217" s="52">
        <f>D217*E217</f>
        <v>4683.8999999999996</v>
      </c>
      <c r="G217" s="52"/>
      <c r="H217" s="22"/>
      <c r="I217" s="52">
        <f>VLOOKUP($F$90,Tabisr,1)</f>
        <v>5081.01</v>
      </c>
      <c r="J217" s="48">
        <f>+F217-I217</f>
        <v>-397.11000000000058</v>
      </c>
      <c r="K217" s="53">
        <f>VLOOKUP($F$90,Tabisr,4)</f>
        <v>0.21360000000000001</v>
      </c>
      <c r="L217" s="52">
        <f>(F217-4244.01)*17.92%</f>
        <v>78.828287999999901</v>
      </c>
      <c r="M217" s="52">
        <v>388.05</v>
      </c>
      <c r="N217" s="52">
        <f>L217+M217</f>
        <v>466.87828799999988</v>
      </c>
      <c r="O217" s="52"/>
      <c r="P217" s="52"/>
      <c r="Q217" s="52"/>
      <c r="R217" s="52"/>
      <c r="S217" s="52"/>
      <c r="T217" s="48">
        <f t="shared" si="79"/>
        <v>4217.0217119999998</v>
      </c>
      <c r="U217" s="48">
        <f t="shared" si="80"/>
        <v>4217.0217119999998</v>
      </c>
    </row>
    <row r="218" spans="1:21" x14ac:dyDescent="0.3">
      <c r="A218" s="22">
        <v>245</v>
      </c>
      <c r="B218" s="14" t="s">
        <v>421</v>
      </c>
      <c r="C218" s="14" t="s">
        <v>420</v>
      </c>
      <c r="D218" s="43">
        <v>15</v>
      </c>
      <c r="E218" s="52">
        <v>414.83</v>
      </c>
      <c r="F218" s="52">
        <f>D218*E218</f>
        <v>6222.45</v>
      </c>
      <c r="G218" s="52"/>
      <c r="H218" s="22"/>
      <c r="I218" s="52">
        <f>VLOOKUP($F$209,Tabisr,1)</f>
        <v>5081.01</v>
      </c>
      <c r="J218" s="48">
        <f>+F218-I218</f>
        <v>1141.4399999999996</v>
      </c>
      <c r="K218" s="53">
        <f>VLOOKUP($F$209,Tabisr,4)</f>
        <v>0.21360000000000001</v>
      </c>
      <c r="L218" s="52">
        <f>+J218*K218</f>
        <v>243.81158399999993</v>
      </c>
      <c r="M218" s="52">
        <f>VLOOKUP($F$209,Tabisr,3)</f>
        <v>538.20000000000005</v>
      </c>
      <c r="N218" s="40">
        <f>+L218+M218</f>
        <v>782.01158399999997</v>
      </c>
      <c r="O218" s="52"/>
      <c r="P218" s="52"/>
      <c r="Q218" s="52"/>
      <c r="R218" s="52"/>
      <c r="S218" s="52"/>
      <c r="T218" s="48">
        <f t="shared" ref="T218" si="81">F218+G218+H218-N218+O218-P218-Q218-R218-S218</f>
        <v>5440.438416</v>
      </c>
      <c r="U218" s="48">
        <f t="shared" ref="U218" si="82">T218-G218</f>
        <v>5440.438416</v>
      </c>
    </row>
    <row r="219" spans="1:21" x14ac:dyDescent="0.3">
      <c r="A219" s="28">
        <v>119</v>
      </c>
      <c r="B219" s="111" t="s">
        <v>303</v>
      </c>
      <c r="C219" s="17" t="s">
        <v>86</v>
      </c>
      <c r="D219" s="58"/>
      <c r="E219" s="59"/>
      <c r="F219" s="59"/>
      <c r="G219" s="59"/>
      <c r="H219" s="79"/>
      <c r="I219" s="59"/>
      <c r="J219" s="61"/>
      <c r="K219" s="62"/>
      <c r="L219" s="59"/>
      <c r="M219" s="59"/>
      <c r="N219" s="59"/>
      <c r="O219" s="59"/>
      <c r="P219" s="59"/>
      <c r="Q219" s="59"/>
      <c r="R219" s="59"/>
      <c r="S219" s="59"/>
      <c r="T219" s="61">
        <f t="shared" si="79"/>
        <v>0</v>
      </c>
      <c r="U219" s="61">
        <f t="shared" si="80"/>
        <v>0</v>
      </c>
    </row>
    <row r="220" spans="1:21" s="10" customFormat="1" x14ac:dyDescent="0.3">
      <c r="A220" s="28">
        <v>120</v>
      </c>
      <c r="B220" s="111" t="s">
        <v>303</v>
      </c>
      <c r="C220" s="111" t="s">
        <v>89</v>
      </c>
      <c r="D220" s="58"/>
      <c r="E220" s="59"/>
      <c r="F220" s="59"/>
      <c r="G220" s="59"/>
      <c r="H220" s="59"/>
      <c r="I220" s="59"/>
      <c r="J220" s="61"/>
      <c r="K220" s="62"/>
      <c r="L220" s="59"/>
      <c r="M220" s="59"/>
      <c r="N220" s="59"/>
      <c r="O220" s="59"/>
      <c r="P220" s="59"/>
      <c r="Q220" s="59"/>
      <c r="R220" s="59"/>
      <c r="S220" s="59"/>
      <c r="T220" s="61"/>
      <c r="U220" s="61"/>
    </row>
    <row r="221" spans="1:21" s="10" customFormat="1" x14ac:dyDescent="0.3">
      <c r="A221" s="28"/>
      <c r="B221" s="111" t="s">
        <v>303</v>
      </c>
      <c r="C221" s="111" t="s">
        <v>93</v>
      </c>
      <c r="D221" s="58"/>
      <c r="E221" s="59"/>
      <c r="F221" s="59"/>
      <c r="G221" s="59"/>
      <c r="H221" s="59"/>
      <c r="I221" s="59"/>
      <c r="J221" s="61"/>
      <c r="K221" s="62"/>
      <c r="L221" s="59"/>
      <c r="M221" s="59"/>
      <c r="N221" s="59"/>
      <c r="O221" s="59"/>
      <c r="P221" s="59"/>
      <c r="Q221" s="59"/>
      <c r="R221" s="59"/>
      <c r="S221" s="59"/>
      <c r="T221" s="61"/>
      <c r="U221" s="61"/>
    </row>
    <row r="222" spans="1:21" s="10" customFormat="1" x14ac:dyDescent="0.3">
      <c r="A222" s="24"/>
      <c r="B222" s="110"/>
      <c r="C222" s="110"/>
      <c r="D222" s="49"/>
      <c r="E222" s="50"/>
      <c r="F222" s="56">
        <f>+SUM(F215:F221)</f>
        <v>27048.750000000004</v>
      </c>
      <c r="G222" s="56">
        <f>+SUM(G215:G221)</f>
        <v>0</v>
      </c>
      <c r="H222" s="56">
        <f t="shared" ref="H222:U222" si="83">+SUM(H215:H221)</f>
        <v>0</v>
      </c>
      <c r="I222" s="56">
        <f t="shared" si="83"/>
        <v>20324.04</v>
      </c>
      <c r="J222" s="56">
        <f t="shared" si="83"/>
        <v>6724.7099999999991</v>
      </c>
      <c r="K222" s="56">
        <f t="shared" si="83"/>
        <v>0.85440000000000005</v>
      </c>
      <c r="L222" s="56">
        <f t="shared" si="83"/>
        <v>1600.0490399999999</v>
      </c>
      <c r="M222" s="56">
        <f t="shared" si="83"/>
        <v>2002.65</v>
      </c>
      <c r="N222" s="56">
        <f t="shared" si="83"/>
        <v>3602.69904</v>
      </c>
      <c r="O222" s="56">
        <f t="shared" si="83"/>
        <v>0</v>
      </c>
      <c r="P222" s="56">
        <f t="shared" si="83"/>
        <v>0</v>
      </c>
      <c r="Q222" s="56">
        <f t="shared" si="83"/>
        <v>0</v>
      </c>
      <c r="R222" s="56">
        <f t="shared" si="83"/>
        <v>0</v>
      </c>
      <c r="S222" s="56">
        <f t="shared" si="83"/>
        <v>0</v>
      </c>
      <c r="T222" s="56">
        <f t="shared" si="83"/>
        <v>23446.050960000004</v>
      </c>
      <c r="U222" s="56">
        <f t="shared" si="83"/>
        <v>23446.050960000004</v>
      </c>
    </row>
    <row r="223" spans="1:21" s="10" customFormat="1" x14ac:dyDescent="0.3">
      <c r="A223" s="24"/>
      <c r="B223" s="110"/>
      <c r="C223" s="110"/>
      <c r="D223" s="49"/>
      <c r="E223" s="50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</row>
    <row r="224" spans="1:21" s="10" customFormat="1" x14ac:dyDescent="0.3">
      <c r="A224" s="24"/>
      <c r="B224" s="114"/>
      <c r="C224" s="115"/>
      <c r="D224" s="64"/>
      <c r="E224" s="64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</row>
    <row r="225" spans="1:21" s="10" customFormat="1" ht="18" x14ac:dyDescent="0.3">
      <c r="A225" s="173" t="s">
        <v>260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</row>
    <row r="226" spans="1:21" s="10" customFormat="1" ht="34.5" customHeight="1" x14ac:dyDescent="0.3">
      <c r="A226" s="21" t="s">
        <v>69</v>
      </c>
      <c r="B226" s="21" t="s">
        <v>17</v>
      </c>
      <c r="C226" s="21" t="s">
        <v>84</v>
      </c>
      <c r="D226" s="21" t="s">
        <v>27</v>
      </c>
      <c r="E226" s="21" t="s">
        <v>19</v>
      </c>
      <c r="F226" s="21" t="s">
        <v>18</v>
      </c>
      <c r="G226" s="21" t="s">
        <v>66</v>
      </c>
      <c r="H226" s="21" t="s">
        <v>74</v>
      </c>
      <c r="I226" s="37" t="s">
        <v>188</v>
      </c>
      <c r="J226" s="37" t="s">
        <v>189</v>
      </c>
      <c r="K226" s="37" t="s">
        <v>190</v>
      </c>
      <c r="L226" s="37" t="s">
        <v>191</v>
      </c>
      <c r="M226" s="21" t="s">
        <v>192</v>
      </c>
      <c r="N226" s="21" t="s">
        <v>67</v>
      </c>
      <c r="O226" s="21" t="s">
        <v>68</v>
      </c>
      <c r="P226" s="21" t="s">
        <v>20</v>
      </c>
      <c r="Q226" s="21" t="s">
        <v>299</v>
      </c>
      <c r="R226" s="21" t="s">
        <v>72</v>
      </c>
      <c r="S226" s="21" t="s">
        <v>82</v>
      </c>
      <c r="T226" s="21" t="s">
        <v>80</v>
      </c>
      <c r="U226" s="21" t="s">
        <v>81</v>
      </c>
    </row>
    <row r="227" spans="1:21" s="10" customFormat="1" ht="20.399999999999999" x14ac:dyDescent="0.3">
      <c r="A227" s="22">
        <v>122</v>
      </c>
      <c r="B227" s="14" t="s">
        <v>14</v>
      </c>
      <c r="C227" s="14" t="s">
        <v>238</v>
      </c>
      <c r="D227" s="43">
        <v>15</v>
      </c>
      <c r="E227" s="52">
        <v>661.33</v>
      </c>
      <c r="F227" s="52">
        <f>D227*E227</f>
        <v>9919.9500000000007</v>
      </c>
      <c r="G227" s="52"/>
      <c r="H227" s="52"/>
      <c r="I227" s="52">
        <f>VLOOKUP($F$215,Tabisr,1)</f>
        <v>5081.01</v>
      </c>
      <c r="J227" s="48">
        <f>+F227-I227</f>
        <v>4838.9400000000005</v>
      </c>
      <c r="K227" s="53">
        <f>VLOOKUP($F$215,Tabisr,4)</f>
        <v>0.21360000000000001</v>
      </c>
      <c r="L227" s="52">
        <f>(F227-5081.01)*21.36%</f>
        <v>1033.5975840000001</v>
      </c>
      <c r="M227" s="52">
        <v>538.20000000000005</v>
      </c>
      <c r="N227" s="52">
        <v>1571.8</v>
      </c>
      <c r="O227" s="52">
        <f>VLOOKUP($F$215,Tabsub,3)</f>
        <v>0</v>
      </c>
      <c r="P227" s="52"/>
      <c r="Q227" s="52"/>
      <c r="R227" s="52"/>
      <c r="S227" s="52"/>
      <c r="T227" s="48">
        <f>F227+G227+H227-N227+O227-P227-Q227-R227-S227</f>
        <v>8348.1500000000015</v>
      </c>
      <c r="U227" s="48">
        <f>T227-G227</f>
        <v>8348.1500000000015</v>
      </c>
    </row>
    <row r="228" spans="1:21" s="10" customFormat="1" x14ac:dyDescent="0.3">
      <c r="A228" s="24"/>
      <c r="B228" s="114"/>
      <c r="C228" s="115"/>
      <c r="D228" s="64"/>
      <c r="E228" s="64"/>
      <c r="F228" s="65">
        <f>+F227</f>
        <v>9919.9500000000007</v>
      </c>
      <c r="G228" s="65">
        <f t="shared" ref="G228:U228" si="84">+G227</f>
        <v>0</v>
      </c>
      <c r="H228" s="65">
        <f t="shared" si="84"/>
        <v>0</v>
      </c>
      <c r="I228" s="65">
        <f t="shared" si="84"/>
        <v>5081.01</v>
      </c>
      <c r="J228" s="65">
        <f t="shared" si="84"/>
        <v>4838.9400000000005</v>
      </c>
      <c r="K228" s="65">
        <f t="shared" si="84"/>
        <v>0.21360000000000001</v>
      </c>
      <c r="L228" s="65">
        <f t="shared" si="84"/>
        <v>1033.5975840000001</v>
      </c>
      <c r="M228" s="65">
        <f t="shared" si="84"/>
        <v>538.20000000000005</v>
      </c>
      <c r="N228" s="65">
        <f t="shared" si="84"/>
        <v>1571.8</v>
      </c>
      <c r="O228" s="65">
        <f t="shared" si="84"/>
        <v>0</v>
      </c>
      <c r="P228" s="65">
        <f t="shared" si="84"/>
        <v>0</v>
      </c>
      <c r="Q228" s="65">
        <f t="shared" si="84"/>
        <v>0</v>
      </c>
      <c r="R228" s="65">
        <f t="shared" si="84"/>
        <v>0</v>
      </c>
      <c r="S228" s="65">
        <f t="shared" si="84"/>
        <v>0</v>
      </c>
      <c r="T228" s="65">
        <f t="shared" si="84"/>
        <v>8348.1500000000015</v>
      </c>
      <c r="U228" s="65">
        <f t="shared" si="84"/>
        <v>8348.1500000000015</v>
      </c>
    </row>
    <row r="229" spans="1:21" s="10" customFormat="1" x14ac:dyDescent="0.3">
      <c r="A229" s="24"/>
      <c r="B229" s="114"/>
      <c r="C229" s="115"/>
      <c r="D229" s="64"/>
      <c r="E229" s="64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</row>
    <row r="230" spans="1:21" s="10" customFormat="1" ht="18" x14ac:dyDescent="0.3">
      <c r="A230" s="173" t="s">
        <v>329</v>
      </c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</row>
    <row r="231" spans="1:21" s="10" customFormat="1" ht="32.25" customHeight="1" x14ac:dyDescent="0.3">
      <c r="A231" s="21" t="s">
        <v>69</v>
      </c>
      <c r="B231" s="21" t="s">
        <v>17</v>
      </c>
      <c r="C231" s="21" t="s">
        <v>84</v>
      </c>
      <c r="D231" s="21" t="s">
        <v>27</v>
      </c>
      <c r="E231" s="21" t="s">
        <v>19</v>
      </c>
      <c r="F231" s="21" t="s">
        <v>18</v>
      </c>
      <c r="G231" s="21" t="s">
        <v>66</v>
      </c>
      <c r="H231" s="21" t="s">
        <v>74</v>
      </c>
      <c r="I231" s="37" t="s">
        <v>188</v>
      </c>
      <c r="J231" s="37" t="s">
        <v>189</v>
      </c>
      <c r="K231" s="37" t="s">
        <v>190</v>
      </c>
      <c r="L231" s="37" t="s">
        <v>191</v>
      </c>
      <c r="M231" s="21" t="s">
        <v>192</v>
      </c>
      <c r="N231" s="21" t="s">
        <v>67</v>
      </c>
      <c r="O231" s="21" t="s">
        <v>68</v>
      </c>
      <c r="P231" s="21" t="s">
        <v>20</v>
      </c>
      <c r="Q231" s="21" t="s">
        <v>299</v>
      </c>
      <c r="R231" s="21" t="s">
        <v>72</v>
      </c>
      <c r="S231" s="21" t="s">
        <v>82</v>
      </c>
      <c r="T231" s="21" t="s">
        <v>80</v>
      </c>
      <c r="U231" s="21" t="s">
        <v>81</v>
      </c>
    </row>
    <row r="232" spans="1:21" s="10" customFormat="1" x14ac:dyDescent="0.3">
      <c r="A232" s="22">
        <v>123</v>
      </c>
      <c r="B232" s="14" t="s">
        <v>327</v>
      </c>
      <c r="C232" s="14" t="s">
        <v>328</v>
      </c>
      <c r="D232" s="43">
        <v>15</v>
      </c>
      <c r="E232" s="52">
        <v>661.33</v>
      </c>
      <c r="F232" s="52">
        <f>D232*E232</f>
        <v>9919.9500000000007</v>
      </c>
      <c r="G232" s="52"/>
      <c r="H232" s="52"/>
      <c r="I232" s="52">
        <f>VLOOKUP($F$215,Tabisr,1)</f>
        <v>5081.01</v>
      </c>
      <c r="J232" s="48">
        <f>+F232-I232</f>
        <v>4838.9400000000005</v>
      </c>
      <c r="K232" s="53">
        <f>VLOOKUP($F$215,Tabisr,4)</f>
        <v>0.21360000000000001</v>
      </c>
      <c r="L232" s="52">
        <f>(F232-5081.01)*21.36%</f>
        <v>1033.5975840000001</v>
      </c>
      <c r="M232" s="52">
        <v>538.20000000000005</v>
      </c>
      <c r="N232" s="52">
        <f>L232+M232</f>
        <v>1571.7975840000001</v>
      </c>
      <c r="O232" s="52">
        <f>VLOOKUP($F$215,Tabsub,3)</f>
        <v>0</v>
      </c>
      <c r="P232" s="52"/>
      <c r="Q232" s="52"/>
      <c r="R232" s="52"/>
      <c r="S232" s="52"/>
      <c r="T232" s="48">
        <f>F232+G232+H232-N232+O232-P232-Q232-R232-S232</f>
        <v>8348.1524160000008</v>
      </c>
      <c r="U232" s="48">
        <f>T232-G232</f>
        <v>8348.1524160000008</v>
      </c>
    </row>
    <row r="233" spans="1:21" s="10" customFormat="1" x14ac:dyDescent="0.3">
      <c r="A233" s="22">
        <v>17</v>
      </c>
      <c r="B233" s="14" t="s">
        <v>197</v>
      </c>
      <c r="C233" s="15" t="s">
        <v>198</v>
      </c>
      <c r="D233" s="43">
        <v>15</v>
      </c>
      <c r="E233" s="55">
        <v>312.26</v>
      </c>
      <c r="F233" s="48">
        <f>D233*E233</f>
        <v>4683.8999999999996</v>
      </c>
      <c r="G233" s="40"/>
      <c r="H233" s="40"/>
      <c r="I233" s="52">
        <f>VLOOKUP($F$367,Tabisr,1)</f>
        <v>5081.01</v>
      </c>
      <c r="J233" s="48">
        <f>+F233-I233</f>
        <v>-397.11000000000058</v>
      </c>
      <c r="K233" s="53">
        <f>VLOOKUP($F$367,Tabisr,4)</f>
        <v>0.21360000000000001</v>
      </c>
      <c r="L233" s="52">
        <f>(F233-4244.01)*17.92%</f>
        <v>78.828287999999901</v>
      </c>
      <c r="M233" s="52">
        <v>388.05</v>
      </c>
      <c r="N233" s="52">
        <f>L233+M233</f>
        <v>466.87828799999988</v>
      </c>
      <c r="O233" s="52">
        <f>VLOOKUP($F$367,Tabsub,3)</f>
        <v>0</v>
      </c>
      <c r="P233" s="40"/>
      <c r="Q233" s="40"/>
      <c r="R233" s="40"/>
      <c r="S233" s="40"/>
      <c r="T233" s="48">
        <f>F233+G233+H233-N233+O233-P233-Q233-R233-S233</f>
        <v>4217.0217119999998</v>
      </c>
      <c r="U233" s="48">
        <f>T233-G233</f>
        <v>4217.0217119999998</v>
      </c>
    </row>
    <row r="234" spans="1:21" s="12" customFormat="1" x14ac:dyDescent="0.3">
      <c r="A234" s="22">
        <v>124</v>
      </c>
      <c r="B234" s="14" t="s">
        <v>380</v>
      </c>
      <c r="C234" s="14" t="s">
        <v>381</v>
      </c>
      <c r="D234" s="43">
        <v>15</v>
      </c>
      <c r="E234" s="52">
        <v>263.56</v>
      </c>
      <c r="F234" s="52">
        <f>D234*E234</f>
        <v>3953.4</v>
      </c>
      <c r="G234" s="52"/>
      <c r="H234" s="52"/>
      <c r="I234" s="52">
        <f>VLOOKUP($F$197,Tabisr,1)</f>
        <v>3651.01</v>
      </c>
      <c r="J234" s="48">
        <f>+F234-I234</f>
        <v>302.38999999999987</v>
      </c>
      <c r="K234" s="53">
        <f>VLOOKUP($F$197,Tabisr,4)</f>
        <v>0.16</v>
      </c>
      <c r="L234" s="52">
        <f>(F234-3651.01)*16%</f>
        <v>48.382399999999983</v>
      </c>
      <c r="M234" s="52">
        <v>293.25</v>
      </c>
      <c r="N234" s="52">
        <f>L234+M234</f>
        <v>341.63239999999996</v>
      </c>
      <c r="O234" s="52"/>
      <c r="P234" s="52"/>
      <c r="Q234" s="52"/>
      <c r="R234" s="52"/>
      <c r="S234" s="52"/>
      <c r="T234" s="48">
        <f>F234+G234+H234-N234+O234-P234-Q234-R234-S234</f>
        <v>3611.7676000000001</v>
      </c>
      <c r="U234" s="48">
        <f>T234-G234</f>
        <v>3611.7676000000001</v>
      </c>
    </row>
    <row r="235" spans="1:21" s="10" customFormat="1" x14ac:dyDescent="0.3">
      <c r="A235" s="163">
        <v>125</v>
      </c>
      <c r="B235" s="158" t="s">
        <v>427</v>
      </c>
      <c r="C235" s="158" t="s">
        <v>358</v>
      </c>
      <c r="D235" s="159">
        <v>15</v>
      </c>
      <c r="E235" s="162"/>
      <c r="F235" s="162"/>
      <c r="G235" s="162"/>
      <c r="H235" s="162"/>
      <c r="I235" s="162">
        <f>VLOOKUP($F$90,Tabisr,1)</f>
        <v>5081.01</v>
      </c>
      <c r="J235" s="164">
        <f>+F235-I235</f>
        <v>-5081.01</v>
      </c>
      <c r="K235" s="165">
        <f>VLOOKUP($F$90,Tabisr,4)</f>
        <v>0.21360000000000001</v>
      </c>
      <c r="L235" s="162">
        <f>(F235-4244.01)*17.92%</f>
        <v>-760.52659200000016</v>
      </c>
      <c r="M235" s="162">
        <v>388.05</v>
      </c>
      <c r="N235" s="162"/>
      <c r="O235" s="162"/>
      <c r="P235" s="162"/>
      <c r="Q235" s="162"/>
      <c r="R235" s="162"/>
      <c r="S235" s="162"/>
      <c r="T235" s="164">
        <f>F235+G235+H235-N235+O235-P235-R235-S235</f>
        <v>0</v>
      </c>
      <c r="U235" s="164">
        <f>T235-G235</f>
        <v>0</v>
      </c>
    </row>
    <row r="236" spans="1:21" s="10" customFormat="1" x14ac:dyDescent="0.3">
      <c r="A236" s="24"/>
      <c r="B236" s="114"/>
      <c r="C236" s="115"/>
      <c r="D236" s="64"/>
      <c r="E236" s="64"/>
      <c r="F236" s="65">
        <f>SUM(F232:F235)</f>
        <v>18557.25</v>
      </c>
      <c r="G236" s="65">
        <f>G235+G234+G233</f>
        <v>0</v>
      </c>
      <c r="H236" s="65">
        <f t="shared" ref="H236:S236" si="85">+H232</f>
        <v>0</v>
      </c>
      <c r="I236" s="65">
        <f t="shared" si="85"/>
        <v>5081.01</v>
      </c>
      <c r="J236" s="65">
        <f t="shared" si="85"/>
        <v>4838.9400000000005</v>
      </c>
      <c r="K236" s="65">
        <f t="shared" si="85"/>
        <v>0.21360000000000001</v>
      </c>
      <c r="L236" s="65">
        <f t="shared" si="85"/>
        <v>1033.5975840000001</v>
      </c>
      <c r="M236" s="65">
        <f t="shared" si="85"/>
        <v>538.20000000000005</v>
      </c>
      <c r="N236" s="65">
        <f>SUM(N232:N235)</f>
        <v>2380.3082720000002</v>
      </c>
      <c r="O236" s="65">
        <f t="shared" si="85"/>
        <v>0</v>
      </c>
      <c r="P236" s="65">
        <f t="shared" si="85"/>
        <v>0</v>
      </c>
      <c r="Q236" s="65">
        <f t="shared" si="85"/>
        <v>0</v>
      </c>
      <c r="R236" s="65">
        <f t="shared" si="85"/>
        <v>0</v>
      </c>
      <c r="S236" s="65">
        <f t="shared" si="85"/>
        <v>0</v>
      </c>
      <c r="T236" s="65">
        <f>SUM(T232:T235)</f>
        <v>16176.941728000002</v>
      </c>
      <c r="U236" s="65">
        <f>SUM(U232:U235)</f>
        <v>16176.941728000002</v>
      </c>
    </row>
    <row r="237" spans="1:21" s="10" customFormat="1" x14ac:dyDescent="0.3">
      <c r="A237" s="24"/>
      <c r="B237" s="114"/>
      <c r="C237" s="115"/>
      <c r="D237" s="64"/>
      <c r="E237" s="64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</row>
    <row r="238" spans="1:21" s="10" customFormat="1" ht="18" x14ac:dyDescent="0.3">
      <c r="A238" s="173" t="s">
        <v>261</v>
      </c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</row>
    <row r="239" spans="1:21" s="10" customFormat="1" ht="35.25" customHeight="1" x14ac:dyDescent="0.3">
      <c r="A239" s="21" t="s">
        <v>69</v>
      </c>
      <c r="B239" s="21" t="s">
        <v>17</v>
      </c>
      <c r="C239" s="21" t="s">
        <v>84</v>
      </c>
      <c r="D239" s="21" t="s">
        <v>27</v>
      </c>
      <c r="E239" s="21" t="s">
        <v>19</v>
      </c>
      <c r="F239" s="21" t="s">
        <v>18</v>
      </c>
      <c r="G239" s="21" t="s">
        <v>66</v>
      </c>
      <c r="H239" s="21" t="s">
        <v>74</v>
      </c>
      <c r="I239" s="37" t="s">
        <v>188</v>
      </c>
      <c r="J239" s="37" t="s">
        <v>189</v>
      </c>
      <c r="K239" s="37" t="s">
        <v>190</v>
      </c>
      <c r="L239" s="37" t="s">
        <v>191</v>
      </c>
      <c r="M239" s="21" t="s">
        <v>192</v>
      </c>
      <c r="N239" s="21" t="s">
        <v>67</v>
      </c>
      <c r="O239" s="21" t="s">
        <v>68</v>
      </c>
      <c r="P239" s="21" t="s">
        <v>20</v>
      </c>
      <c r="Q239" s="21" t="s">
        <v>299</v>
      </c>
      <c r="R239" s="21" t="s">
        <v>72</v>
      </c>
      <c r="S239" s="21" t="s">
        <v>82</v>
      </c>
      <c r="T239" s="21" t="s">
        <v>80</v>
      </c>
      <c r="U239" s="21" t="s">
        <v>81</v>
      </c>
    </row>
    <row r="240" spans="1:21" s="10" customFormat="1" x14ac:dyDescent="0.3">
      <c r="A240" s="27">
        <v>126</v>
      </c>
      <c r="B240" s="14" t="s">
        <v>233</v>
      </c>
      <c r="C240" s="14" t="s">
        <v>234</v>
      </c>
      <c r="D240" s="43">
        <v>15</v>
      </c>
      <c r="E240" s="52">
        <v>661.33</v>
      </c>
      <c r="F240" s="52">
        <f t="shared" ref="F240:F257" si="86">D240*E240</f>
        <v>9919.9500000000007</v>
      </c>
      <c r="G240" s="52"/>
      <c r="H240" s="52"/>
      <c r="I240" s="52">
        <f>VLOOKUP($F$215,Tabisr,1)</f>
        <v>5081.01</v>
      </c>
      <c r="J240" s="48">
        <f t="shared" ref="J240:J248" si="87">+F240-I240</f>
        <v>4838.9400000000005</v>
      </c>
      <c r="K240" s="53">
        <f>VLOOKUP($F$215,Tabisr,4)</f>
        <v>0.21360000000000001</v>
      </c>
      <c r="L240" s="52">
        <f>(F240-5081.01)*21.36%</f>
        <v>1033.5975840000001</v>
      </c>
      <c r="M240" s="52">
        <v>538.20000000000005</v>
      </c>
      <c r="N240" s="52">
        <f>L240+M240</f>
        <v>1571.7975840000001</v>
      </c>
      <c r="O240" s="52">
        <f>VLOOKUP($F$215,Tabsub,3)</f>
        <v>0</v>
      </c>
      <c r="P240" s="52"/>
      <c r="Q240" s="52"/>
      <c r="R240" s="52"/>
      <c r="S240" s="52"/>
      <c r="T240" s="48">
        <f t="shared" ref="T240:T245" si="88">F240+G240+H240-N240+O240-P240-Q240-R240-S240</f>
        <v>8348.1524160000008</v>
      </c>
      <c r="U240" s="48">
        <f t="shared" ref="U240:U273" si="89">T240-G240</f>
        <v>8348.1524160000008</v>
      </c>
    </row>
    <row r="241" spans="1:21" s="11" customFormat="1" ht="19.2" x14ac:dyDescent="0.3">
      <c r="A241" s="29">
        <v>127</v>
      </c>
      <c r="B241" s="14" t="s">
        <v>4</v>
      </c>
      <c r="C241" s="143" t="s">
        <v>316</v>
      </c>
      <c r="D241" s="43">
        <v>15</v>
      </c>
      <c r="E241" s="80">
        <v>414.83</v>
      </c>
      <c r="F241" s="80">
        <f>D241*E241</f>
        <v>6222.45</v>
      </c>
      <c r="G241" s="80"/>
      <c r="H241" s="81"/>
      <c r="I241" s="80">
        <f>VLOOKUP($F$209,Tabisr,1)</f>
        <v>5081.01</v>
      </c>
      <c r="J241" s="81">
        <f>+F241-I241</f>
        <v>1141.4399999999996</v>
      </c>
      <c r="K241" s="82">
        <f>VLOOKUP($F$209,Tabisr,4)</f>
        <v>0.21360000000000001</v>
      </c>
      <c r="L241" s="44">
        <f>+J241*K241</f>
        <v>243.81158399999993</v>
      </c>
      <c r="M241" s="44">
        <f>VLOOKUP($F$209,Tabisr,3)</f>
        <v>538.20000000000005</v>
      </c>
      <c r="N241" s="40">
        <f>+L241+M241</f>
        <v>782.01158399999997</v>
      </c>
      <c r="O241" s="80"/>
      <c r="P241" s="80"/>
      <c r="Q241" s="80"/>
      <c r="R241" s="80"/>
      <c r="S241" s="75"/>
      <c r="T241" s="48">
        <f t="shared" si="88"/>
        <v>5440.438416</v>
      </c>
      <c r="U241" s="46">
        <f t="shared" si="89"/>
        <v>5440.438416</v>
      </c>
    </row>
    <row r="242" spans="1:21" s="10" customFormat="1" x14ac:dyDescent="0.3">
      <c r="A242" s="27">
        <v>128</v>
      </c>
      <c r="B242" s="14" t="s">
        <v>29</v>
      </c>
      <c r="C242" s="109" t="s">
        <v>86</v>
      </c>
      <c r="D242" s="43">
        <v>15</v>
      </c>
      <c r="E242" s="44">
        <v>263.56</v>
      </c>
      <c r="F242" s="44">
        <f>D242*E242</f>
        <v>3953.4</v>
      </c>
      <c r="G242" s="44"/>
      <c r="H242" s="44"/>
      <c r="I242" s="44">
        <f>VLOOKUP($F$197,Tabisr,1)</f>
        <v>3651.01</v>
      </c>
      <c r="J242" s="46">
        <f t="shared" si="87"/>
        <v>302.38999999999987</v>
      </c>
      <c r="K242" s="47">
        <f>VLOOKUP($F$197,Tabisr,4)</f>
        <v>0.16</v>
      </c>
      <c r="L242" s="44">
        <f>(F242-3651.01)*16%</f>
        <v>48.382399999999983</v>
      </c>
      <c r="M242" s="44">
        <v>293.25</v>
      </c>
      <c r="N242" s="44">
        <f>L242+M242</f>
        <v>341.63239999999996</v>
      </c>
      <c r="O242" s="44"/>
      <c r="P242" s="44"/>
      <c r="Q242" s="44"/>
      <c r="R242" s="44"/>
      <c r="S242" s="52"/>
      <c r="T242" s="48">
        <f t="shared" si="88"/>
        <v>3611.7676000000001</v>
      </c>
      <c r="U242" s="46">
        <f t="shared" si="89"/>
        <v>3611.7676000000001</v>
      </c>
    </row>
    <row r="243" spans="1:21" s="10" customFormat="1" x14ac:dyDescent="0.3">
      <c r="A243" s="29">
        <v>129</v>
      </c>
      <c r="B243" s="14" t="s">
        <v>346</v>
      </c>
      <c r="C243" s="15" t="s">
        <v>86</v>
      </c>
      <c r="D243" s="43">
        <v>15</v>
      </c>
      <c r="E243" s="52">
        <v>263.56</v>
      </c>
      <c r="F243" s="52">
        <f>D243*E243</f>
        <v>3953.4</v>
      </c>
      <c r="G243" s="52"/>
      <c r="H243" s="52"/>
      <c r="I243" s="52">
        <v>4244.01</v>
      </c>
      <c r="J243" s="48">
        <f>+F243-I243</f>
        <v>-290.61000000000013</v>
      </c>
      <c r="K243" s="53">
        <v>0.1792</v>
      </c>
      <c r="L243" s="44">
        <f>(F243-3651.01)*16%</f>
        <v>48.382399999999983</v>
      </c>
      <c r="M243" s="44">
        <v>293.25</v>
      </c>
      <c r="N243" s="44">
        <f>M243+L243</f>
        <v>341.63239999999996</v>
      </c>
      <c r="O243" s="52"/>
      <c r="P243" s="52"/>
      <c r="Q243" s="52"/>
      <c r="R243" s="52"/>
      <c r="S243" s="52"/>
      <c r="T243" s="48">
        <f t="shared" si="88"/>
        <v>3611.7676000000001</v>
      </c>
      <c r="U243" s="48">
        <f t="shared" si="89"/>
        <v>3611.7676000000001</v>
      </c>
    </row>
    <row r="244" spans="1:21" s="12" customFormat="1" x14ac:dyDescent="0.3">
      <c r="A244" s="27">
        <v>243</v>
      </c>
      <c r="B244" s="14" t="s">
        <v>423</v>
      </c>
      <c r="C244" s="15" t="s">
        <v>98</v>
      </c>
      <c r="D244" s="43">
        <v>15</v>
      </c>
      <c r="E244" s="40">
        <v>312.26</v>
      </c>
      <c r="F244" s="52">
        <f>D244*E244</f>
        <v>4683.8999999999996</v>
      </c>
      <c r="G244" s="52"/>
      <c r="H244" s="52"/>
      <c r="I244" s="52">
        <v>4244.01</v>
      </c>
      <c r="J244" s="48">
        <f>+F244-I244</f>
        <v>439.88999999999942</v>
      </c>
      <c r="K244" s="53">
        <v>0.1792</v>
      </c>
      <c r="L244" s="52">
        <f>(F244-3651.01)*16%</f>
        <v>165.2623999999999</v>
      </c>
      <c r="M244" s="52">
        <v>293.25</v>
      </c>
      <c r="N244" s="52">
        <v>424.62</v>
      </c>
      <c r="O244" s="52"/>
      <c r="P244" s="52"/>
      <c r="Q244" s="52"/>
      <c r="R244" s="52"/>
      <c r="S244" s="52"/>
      <c r="T244" s="48">
        <f t="shared" si="88"/>
        <v>4259.28</v>
      </c>
      <c r="U244" s="48">
        <f t="shared" ref="U244" si="90">T244-G244</f>
        <v>4259.28</v>
      </c>
    </row>
    <row r="245" spans="1:21" s="10" customFormat="1" x14ac:dyDescent="0.3">
      <c r="A245" s="27">
        <v>130</v>
      </c>
      <c r="B245" s="14" t="s">
        <v>43</v>
      </c>
      <c r="C245" s="14" t="s">
        <v>152</v>
      </c>
      <c r="D245" s="43">
        <v>15</v>
      </c>
      <c r="E245" s="52">
        <v>253.77</v>
      </c>
      <c r="F245" s="52">
        <f t="shared" si="86"/>
        <v>3806.55</v>
      </c>
      <c r="G245" s="52"/>
      <c r="H245" s="154"/>
      <c r="I245" s="52">
        <f>VLOOKUP($F$245,Tabisr,1)</f>
        <v>3651.01</v>
      </c>
      <c r="J245" s="48">
        <f t="shared" si="87"/>
        <v>155.53999999999996</v>
      </c>
      <c r="K245" s="53">
        <f>VLOOKUP($F$245,Tabisr,4)</f>
        <v>0.16</v>
      </c>
      <c r="L245" s="52">
        <f>(F245-2077.51)*10.88%</f>
        <v>188.119552</v>
      </c>
      <c r="M245" s="52">
        <v>121.95</v>
      </c>
      <c r="N245" s="52">
        <f>M245+L245</f>
        <v>310.06955199999999</v>
      </c>
      <c r="O245" s="52">
        <f t="shared" ref="O245:O254" si="91">VLOOKUP($F$245,Tabsub,3)</f>
        <v>0</v>
      </c>
      <c r="P245" s="52"/>
      <c r="Q245" s="52"/>
      <c r="R245" s="52"/>
      <c r="S245" s="52"/>
      <c r="T245" s="48">
        <f t="shared" si="88"/>
        <v>3496.4804480000003</v>
      </c>
      <c r="U245" s="48">
        <f t="shared" si="89"/>
        <v>3496.4804480000003</v>
      </c>
    </row>
    <row r="246" spans="1:21" s="10" customFormat="1" x14ac:dyDescent="0.3">
      <c r="A246" s="29">
        <v>131</v>
      </c>
      <c r="B246" s="14" t="s">
        <v>44</v>
      </c>
      <c r="C246" s="108" t="s">
        <v>152</v>
      </c>
      <c r="D246" s="43">
        <v>15</v>
      </c>
      <c r="E246" s="52">
        <v>253.77</v>
      </c>
      <c r="F246" s="44">
        <f t="shared" si="86"/>
        <v>3806.55</v>
      </c>
      <c r="G246" s="44"/>
      <c r="H246" s="166"/>
      <c r="I246" s="44">
        <f>VLOOKUP($F$246,Tabisr,1)</f>
        <v>3651.01</v>
      </c>
      <c r="J246" s="46">
        <f t="shared" si="87"/>
        <v>155.53999999999996</v>
      </c>
      <c r="K246" s="47">
        <f>VLOOKUP($F$246,Tabisr,4)</f>
        <v>0.16</v>
      </c>
      <c r="L246" s="44">
        <f>(F246-2077.51)*10.88%</f>
        <v>188.119552</v>
      </c>
      <c r="M246" s="44">
        <v>121.95</v>
      </c>
      <c r="N246" s="44">
        <f>M246+L246</f>
        <v>310.06955199999999</v>
      </c>
      <c r="O246" s="44">
        <f t="shared" si="91"/>
        <v>0</v>
      </c>
      <c r="P246" s="44"/>
      <c r="Q246" s="44"/>
      <c r="R246" s="44"/>
      <c r="S246" s="52"/>
      <c r="T246" s="48">
        <f t="shared" ref="T246:T273" si="92">F246+G246+H246-N246+O246-P246-Q246-R246-S246</f>
        <v>3496.4804480000003</v>
      </c>
      <c r="U246" s="46">
        <f t="shared" si="89"/>
        <v>3496.4804480000003</v>
      </c>
    </row>
    <row r="247" spans="1:21" s="10" customFormat="1" x14ac:dyDescent="0.3">
      <c r="A247" s="27">
        <v>132</v>
      </c>
      <c r="B247" s="14" t="s">
        <v>70</v>
      </c>
      <c r="C247" s="108" t="s">
        <v>152</v>
      </c>
      <c r="D247" s="43">
        <v>15</v>
      </c>
      <c r="E247" s="52">
        <v>253.77</v>
      </c>
      <c r="F247" s="44">
        <f t="shared" si="86"/>
        <v>3806.55</v>
      </c>
      <c r="G247" s="44"/>
      <c r="H247" s="166"/>
      <c r="I247" s="44">
        <f>VLOOKUP($F$247,Tabisr,1)</f>
        <v>3651.01</v>
      </c>
      <c r="J247" s="46">
        <f t="shared" si="87"/>
        <v>155.53999999999996</v>
      </c>
      <c r="K247" s="47">
        <f>VLOOKUP($F$247,Tabisr,4)</f>
        <v>0.16</v>
      </c>
      <c r="L247" s="44">
        <f>(F247-2077.51)*10.88%</f>
        <v>188.119552</v>
      </c>
      <c r="M247" s="44">
        <v>121.95</v>
      </c>
      <c r="N247" s="44">
        <f>M247+L247</f>
        <v>310.06955199999999</v>
      </c>
      <c r="O247" s="44">
        <f t="shared" si="91"/>
        <v>0</v>
      </c>
      <c r="P247" s="44"/>
      <c r="Q247" s="44"/>
      <c r="R247" s="44"/>
      <c r="S247" s="52"/>
      <c r="T247" s="48">
        <f t="shared" ref="T247" si="93">F247+G247+H247-N247+O247-P247-Q247-R247-S247</f>
        <v>3496.4804480000003</v>
      </c>
      <c r="U247" s="46">
        <f t="shared" ref="U247" si="94">T247-G247</f>
        <v>3496.4804480000003</v>
      </c>
    </row>
    <row r="248" spans="1:21" s="10" customFormat="1" x14ac:dyDescent="0.3">
      <c r="A248" s="29">
        <v>133</v>
      </c>
      <c r="B248" s="14" t="s">
        <v>160</v>
      </c>
      <c r="C248" s="108" t="s">
        <v>152</v>
      </c>
      <c r="D248" s="43">
        <v>15</v>
      </c>
      <c r="E248" s="52">
        <v>253.77</v>
      </c>
      <c r="F248" s="44">
        <f t="shared" si="86"/>
        <v>3806.55</v>
      </c>
      <c r="G248" s="44"/>
      <c r="H248" s="166"/>
      <c r="I248" s="44">
        <f>VLOOKUP($F$248,Tabisr,1)</f>
        <v>3651.01</v>
      </c>
      <c r="J248" s="46">
        <f t="shared" si="87"/>
        <v>155.53999999999996</v>
      </c>
      <c r="K248" s="47">
        <f>VLOOKUP($F$248,Tabisr,4)</f>
        <v>0.16</v>
      </c>
      <c r="L248" s="44">
        <f>(F248-2077.51)*10.88%</f>
        <v>188.119552</v>
      </c>
      <c r="M248" s="44">
        <v>121.95</v>
      </c>
      <c r="N248" s="44">
        <f>M248+L248</f>
        <v>310.06955199999999</v>
      </c>
      <c r="O248" s="44">
        <f t="shared" si="91"/>
        <v>0</v>
      </c>
      <c r="P248" s="44"/>
      <c r="Q248" s="44"/>
      <c r="R248" s="44"/>
      <c r="S248" s="52"/>
      <c r="T248" s="48">
        <f t="shared" si="92"/>
        <v>3496.4804480000003</v>
      </c>
      <c r="U248" s="46">
        <f t="shared" si="89"/>
        <v>3496.4804480000003</v>
      </c>
    </row>
    <row r="249" spans="1:21" s="10" customFormat="1" x14ac:dyDescent="0.3">
      <c r="A249" s="27">
        <v>134</v>
      </c>
      <c r="B249" s="14" t="s">
        <v>193</v>
      </c>
      <c r="C249" s="108" t="s">
        <v>135</v>
      </c>
      <c r="D249" s="43">
        <v>15</v>
      </c>
      <c r="E249" s="44">
        <v>312.26</v>
      </c>
      <c r="F249" s="44">
        <f>D249*E249</f>
        <v>4683.8999999999996</v>
      </c>
      <c r="G249" s="44"/>
      <c r="H249" s="103"/>
      <c r="I249" s="44">
        <f>VLOOKUP($F$333,Tabisr,1)</f>
        <v>4244.01</v>
      </c>
      <c r="J249" s="46">
        <f t="shared" ref="J249:J257" si="95">+F249-I249</f>
        <v>439.88999999999942</v>
      </c>
      <c r="K249" s="47">
        <f>VLOOKUP($F$333,Tabisr,4)</f>
        <v>0.1792</v>
      </c>
      <c r="L249" s="44">
        <f>(F249-4244.01)*17.92%</f>
        <v>78.828287999999901</v>
      </c>
      <c r="M249" s="44">
        <v>388.05</v>
      </c>
      <c r="N249" s="44">
        <f>L249+M249</f>
        <v>466.87828799999988</v>
      </c>
      <c r="O249" s="44"/>
      <c r="P249" s="44"/>
      <c r="Q249" s="44"/>
      <c r="R249" s="44"/>
      <c r="S249" s="52"/>
      <c r="T249" s="48">
        <f t="shared" si="92"/>
        <v>4217.0217119999998</v>
      </c>
      <c r="U249" s="46">
        <f t="shared" si="89"/>
        <v>4217.0217119999998</v>
      </c>
    </row>
    <row r="250" spans="1:21" s="10" customFormat="1" x14ac:dyDescent="0.3">
      <c r="A250" s="29">
        <v>135</v>
      </c>
      <c r="B250" s="14" t="s">
        <v>345</v>
      </c>
      <c r="C250" s="14" t="s">
        <v>89</v>
      </c>
      <c r="D250" s="43">
        <v>15</v>
      </c>
      <c r="E250" s="52">
        <v>253.77</v>
      </c>
      <c r="F250" s="44">
        <f>D250*E250</f>
        <v>3806.55</v>
      </c>
      <c r="G250" s="44"/>
      <c r="H250" s="103"/>
      <c r="I250" s="44">
        <f>VLOOKUP($F$249,Tabisr,1)</f>
        <v>4244.01</v>
      </c>
      <c r="J250" s="46">
        <f t="shared" si="95"/>
        <v>-437.46000000000004</v>
      </c>
      <c r="K250" s="47">
        <f>VLOOKUP($F$249,Tabisr,4)</f>
        <v>0.1792</v>
      </c>
      <c r="L250" s="44">
        <f>(F250-2077.51)*10.88%</f>
        <v>188.119552</v>
      </c>
      <c r="M250" s="44">
        <v>121.95</v>
      </c>
      <c r="N250" s="44">
        <f>M250+L250</f>
        <v>310.06955199999999</v>
      </c>
      <c r="O250" s="44">
        <f t="shared" si="91"/>
        <v>0</v>
      </c>
      <c r="P250" s="44"/>
      <c r="Q250" s="44"/>
      <c r="R250" s="44"/>
      <c r="S250" s="52"/>
      <c r="T250" s="48">
        <f t="shared" si="92"/>
        <v>3496.4804480000003</v>
      </c>
      <c r="U250" s="46">
        <f t="shared" si="89"/>
        <v>3496.4804480000003</v>
      </c>
    </row>
    <row r="251" spans="1:21" s="10" customFormat="1" x14ac:dyDescent="0.3">
      <c r="A251" s="27">
        <v>136</v>
      </c>
      <c r="B251" s="14" t="s">
        <v>351</v>
      </c>
      <c r="C251" s="14" t="s">
        <v>89</v>
      </c>
      <c r="D251" s="43">
        <v>15</v>
      </c>
      <c r="E251" s="52">
        <v>253.77</v>
      </c>
      <c r="F251" s="52">
        <f>D251*E251</f>
        <v>3806.55</v>
      </c>
      <c r="G251" s="52"/>
      <c r="H251" s="103"/>
      <c r="I251" s="52">
        <f>VLOOKUP($F$249,Tabisr,1)</f>
        <v>4244.01</v>
      </c>
      <c r="J251" s="48">
        <f t="shared" si="95"/>
        <v>-437.46000000000004</v>
      </c>
      <c r="K251" s="53">
        <f>VLOOKUP($F$249,Tabisr,4)</f>
        <v>0.1792</v>
      </c>
      <c r="L251" s="52">
        <f>(F251-2077.51)*10.88%</f>
        <v>188.119552</v>
      </c>
      <c r="M251" s="52">
        <v>121.95</v>
      </c>
      <c r="N251" s="52">
        <f>M251+L251</f>
        <v>310.06955199999999</v>
      </c>
      <c r="O251" s="52">
        <f t="shared" si="91"/>
        <v>0</v>
      </c>
      <c r="P251" s="52"/>
      <c r="Q251" s="52"/>
      <c r="R251" s="52"/>
      <c r="S251" s="52"/>
      <c r="T251" s="48">
        <f t="shared" si="92"/>
        <v>3496.4804480000003</v>
      </c>
      <c r="U251" s="48">
        <f t="shared" si="89"/>
        <v>3496.4804480000003</v>
      </c>
    </row>
    <row r="252" spans="1:21" s="10" customFormat="1" x14ac:dyDescent="0.3">
      <c r="A252" s="29">
        <v>137</v>
      </c>
      <c r="B252" s="14" t="s">
        <v>243</v>
      </c>
      <c r="C252" s="14" t="s">
        <v>89</v>
      </c>
      <c r="D252" s="43">
        <v>15</v>
      </c>
      <c r="E252" s="52">
        <v>263.56</v>
      </c>
      <c r="F252" s="52">
        <f>D252*E252</f>
        <v>3953.4</v>
      </c>
      <c r="G252" s="52"/>
      <c r="H252" s="134"/>
      <c r="I252" s="52">
        <f>VLOOKUP($F$290,Tabisr,1)</f>
        <v>3651.01</v>
      </c>
      <c r="J252" s="48">
        <f t="shared" si="95"/>
        <v>302.38999999999987</v>
      </c>
      <c r="K252" s="53">
        <f>VLOOKUP($F$290,Tabisr,4)</f>
        <v>0.16</v>
      </c>
      <c r="L252" s="52">
        <f>(F252-3651.01)*16%</f>
        <v>48.382399999999983</v>
      </c>
      <c r="M252" s="52">
        <v>293.25</v>
      </c>
      <c r="N252" s="52">
        <f>L252+M252</f>
        <v>341.63239999999996</v>
      </c>
      <c r="O252" s="52">
        <f>VLOOKUP($F$290,Tabsub,3)</f>
        <v>0</v>
      </c>
      <c r="P252" s="40"/>
      <c r="Q252" s="40"/>
      <c r="R252" s="63"/>
      <c r="S252" s="63"/>
      <c r="T252" s="48">
        <f t="shared" si="92"/>
        <v>3611.7676000000001</v>
      </c>
      <c r="U252" s="48">
        <f t="shared" si="89"/>
        <v>3611.7676000000001</v>
      </c>
    </row>
    <row r="253" spans="1:21" s="10" customFormat="1" x14ac:dyDescent="0.3">
      <c r="A253" s="27">
        <v>138</v>
      </c>
      <c r="B253" s="14" t="s">
        <v>306</v>
      </c>
      <c r="C253" s="108" t="s">
        <v>401</v>
      </c>
      <c r="D253" s="43">
        <v>15</v>
      </c>
      <c r="E253" s="44">
        <v>414.83</v>
      </c>
      <c r="F253" s="44">
        <f>D253*E253</f>
        <v>6222.45</v>
      </c>
      <c r="G253" s="44"/>
      <c r="H253" s="155"/>
      <c r="I253" s="44">
        <f>VLOOKUP($F$209,Tabisr,1)</f>
        <v>5081.01</v>
      </c>
      <c r="J253" s="46">
        <f>+F253-I253</f>
        <v>1141.4399999999996</v>
      </c>
      <c r="K253" s="47">
        <f>VLOOKUP($F$209,Tabisr,4)</f>
        <v>0.21360000000000001</v>
      </c>
      <c r="L253" s="44">
        <f>+J253*K253</f>
        <v>243.81158399999993</v>
      </c>
      <c r="M253" s="44">
        <f>VLOOKUP($F$209,Tabisr,3)</f>
        <v>538.20000000000005</v>
      </c>
      <c r="N253" s="44">
        <f>+L253+M253</f>
        <v>782.01158399999997</v>
      </c>
      <c r="O253" s="44"/>
      <c r="P253" s="44"/>
      <c r="Q253" s="44"/>
      <c r="R253" s="44"/>
      <c r="S253" s="52"/>
      <c r="T253" s="48">
        <f t="shared" si="92"/>
        <v>5440.438416</v>
      </c>
      <c r="U253" s="46">
        <f t="shared" si="89"/>
        <v>5440.438416</v>
      </c>
    </row>
    <row r="254" spans="1:21" s="10" customFormat="1" x14ac:dyDescent="0.3">
      <c r="A254" s="29">
        <v>139</v>
      </c>
      <c r="B254" s="14" t="s">
        <v>41</v>
      </c>
      <c r="C254" s="108" t="s">
        <v>153</v>
      </c>
      <c r="D254" s="43">
        <v>15</v>
      </c>
      <c r="E254" s="44">
        <v>260.62</v>
      </c>
      <c r="F254" s="44">
        <f t="shared" si="86"/>
        <v>3909.3</v>
      </c>
      <c r="G254" s="44"/>
      <c r="H254" s="44"/>
      <c r="I254" s="44">
        <f>VLOOKUP($F$254,Tabisr,1)</f>
        <v>3651.01</v>
      </c>
      <c r="J254" s="46">
        <f t="shared" si="95"/>
        <v>258.28999999999996</v>
      </c>
      <c r="K254" s="47">
        <f>VLOOKUP($F$254,Tabisr,4)</f>
        <v>0.16</v>
      </c>
      <c r="L254" s="44">
        <f>(F254-2077.51)*10.88%-37.95</f>
        <v>161.34875199999999</v>
      </c>
      <c r="M254" s="44">
        <v>121.95</v>
      </c>
      <c r="N254" s="44">
        <f t="shared" ref="N254:N269" si="96">M254+L254</f>
        <v>283.29875199999998</v>
      </c>
      <c r="O254" s="44">
        <f t="shared" si="91"/>
        <v>0</v>
      </c>
      <c r="P254" s="44"/>
      <c r="Q254" s="44"/>
      <c r="R254" s="44"/>
      <c r="S254" s="52"/>
      <c r="T254" s="48">
        <f t="shared" si="92"/>
        <v>3626.001248</v>
      </c>
      <c r="U254" s="46">
        <f t="shared" si="89"/>
        <v>3626.001248</v>
      </c>
    </row>
    <row r="255" spans="1:21" s="10" customFormat="1" ht="24" customHeight="1" x14ac:dyDescent="0.3">
      <c r="A255" s="27">
        <v>140</v>
      </c>
      <c r="B255" s="14" t="s">
        <v>78</v>
      </c>
      <c r="C255" s="108" t="s">
        <v>105</v>
      </c>
      <c r="D255" s="43">
        <v>15</v>
      </c>
      <c r="E255" s="44">
        <v>260.62</v>
      </c>
      <c r="F255" s="44">
        <f t="shared" si="86"/>
        <v>3909.3</v>
      </c>
      <c r="G255" s="44"/>
      <c r="H255" s="44"/>
      <c r="I255" s="44">
        <f>VLOOKUP($F$255,Tabisr,1)</f>
        <v>3651.01</v>
      </c>
      <c r="J255" s="46">
        <f t="shared" si="95"/>
        <v>258.28999999999996</v>
      </c>
      <c r="K255" s="47">
        <f>VLOOKUP($F$255,Tabisr,4)</f>
        <v>0.16</v>
      </c>
      <c r="L255" s="44">
        <f t="shared" ref="L255:L260" si="97">(F255-3651.01)*16%</f>
        <v>41.326399999999992</v>
      </c>
      <c r="M255" s="44">
        <v>293.25</v>
      </c>
      <c r="N255" s="44">
        <f t="shared" si="96"/>
        <v>334.57639999999998</v>
      </c>
      <c r="O255" s="44"/>
      <c r="P255" s="44"/>
      <c r="Q255" s="44"/>
      <c r="R255" s="44"/>
      <c r="S255" s="52"/>
      <c r="T255" s="48">
        <f t="shared" si="92"/>
        <v>3574.7236000000003</v>
      </c>
      <c r="U255" s="46">
        <f t="shared" si="89"/>
        <v>3574.7236000000003</v>
      </c>
    </row>
    <row r="256" spans="1:21" s="10" customFormat="1" ht="23.25" customHeight="1" x14ac:dyDescent="0.3">
      <c r="A256" s="29">
        <v>141</v>
      </c>
      <c r="B256" s="14" t="s">
        <v>79</v>
      </c>
      <c r="C256" s="108" t="s">
        <v>105</v>
      </c>
      <c r="D256" s="43">
        <v>15</v>
      </c>
      <c r="E256" s="44">
        <v>260.62</v>
      </c>
      <c r="F256" s="44">
        <f t="shared" si="86"/>
        <v>3909.3</v>
      </c>
      <c r="G256" s="44"/>
      <c r="H256" s="23"/>
      <c r="I256" s="44">
        <f>VLOOKUP($F$256,Tabisr,1)</f>
        <v>3651.01</v>
      </c>
      <c r="J256" s="46">
        <f t="shared" si="95"/>
        <v>258.28999999999996</v>
      </c>
      <c r="K256" s="47">
        <f>VLOOKUP($F$256,Tabisr,4)</f>
        <v>0.16</v>
      </c>
      <c r="L256" s="44">
        <f t="shared" si="97"/>
        <v>41.326399999999992</v>
      </c>
      <c r="M256" s="44">
        <v>293.25</v>
      </c>
      <c r="N256" s="44">
        <f t="shared" si="96"/>
        <v>334.57639999999998</v>
      </c>
      <c r="O256" s="44">
        <f>VLOOKUP($F$256,Tabsub,3)</f>
        <v>0</v>
      </c>
      <c r="P256" s="52"/>
      <c r="Q256" s="52"/>
      <c r="R256" s="44"/>
      <c r="S256" s="52"/>
      <c r="T256" s="48">
        <f t="shared" si="92"/>
        <v>3574.7236000000003</v>
      </c>
      <c r="U256" s="46">
        <f t="shared" si="89"/>
        <v>3574.7236000000003</v>
      </c>
    </row>
    <row r="257" spans="1:21" s="10" customFormat="1" ht="23.4" x14ac:dyDescent="0.3">
      <c r="A257" s="27">
        <v>142</v>
      </c>
      <c r="B257" s="14" t="s">
        <v>75</v>
      </c>
      <c r="C257" s="144" t="s">
        <v>102</v>
      </c>
      <c r="D257" s="43">
        <v>15</v>
      </c>
      <c r="E257" s="44">
        <v>260.62</v>
      </c>
      <c r="F257" s="44">
        <f t="shared" si="86"/>
        <v>3909.3</v>
      </c>
      <c r="G257" s="44"/>
      <c r="H257" s="44"/>
      <c r="I257" s="44">
        <f>VLOOKUP($F$257,Tabisr,1)</f>
        <v>3651.01</v>
      </c>
      <c r="J257" s="46">
        <f t="shared" si="95"/>
        <v>258.28999999999996</v>
      </c>
      <c r="K257" s="47">
        <f>VLOOKUP($F$257,Tabisr,4)</f>
        <v>0.16</v>
      </c>
      <c r="L257" s="44">
        <f t="shared" si="97"/>
        <v>41.326399999999992</v>
      </c>
      <c r="M257" s="44">
        <v>293.25</v>
      </c>
      <c r="N257" s="44">
        <f t="shared" si="96"/>
        <v>334.57639999999998</v>
      </c>
      <c r="O257" s="44">
        <f>VLOOKUP($F$257,Tabsub,3)</f>
        <v>0</v>
      </c>
      <c r="P257" s="52"/>
      <c r="Q257" s="52"/>
      <c r="R257" s="44"/>
      <c r="S257" s="52"/>
      <c r="T257" s="48">
        <f t="shared" si="92"/>
        <v>3574.7236000000003</v>
      </c>
      <c r="U257" s="46">
        <f t="shared" si="89"/>
        <v>3574.7236000000003</v>
      </c>
    </row>
    <row r="258" spans="1:21" s="10" customFormat="1" x14ac:dyDescent="0.3">
      <c r="A258" s="29">
        <v>143</v>
      </c>
      <c r="B258" s="14" t="s">
        <v>10</v>
      </c>
      <c r="C258" s="113" t="s">
        <v>138</v>
      </c>
      <c r="D258" s="43">
        <v>15</v>
      </c>
      <c r="E258" s="52">
        <v>264.56</v>
      </c>
      <c r="F258" s="52">
        <f t="shared" ref="F258:F264" si="98">D258*E258</f>
        <v>3968.4</v>
      </c>
      <c r="G258" s="52"/>
      <c r="H258" s="52"/>
      <c r="I258" s="52">
        <f>VLOOKUP($F$258,Tabisr,1)</f>
        <v>3651.01</v>
      </c>
      <c r="J258" s="48">
        <f t="shared" ref="J258:J273" si="99">+F258-I258</f>
        <v>317.38999999999987</v>
      </c>
      <c r="K258" s="53">
        <f>VLOOKUP($F$258,Tabisr,4)</f>
        <v>0.16</v>
      </c>
      <c r="L258" s="44">
        <f t="shared" si="97"/>
        <v>50.782399999999981</v>
      </c>
      <c r="M258" s="44">
        <v>293.25</v>
      </c>
      <c r="N258" s="44">
        <f t="shared" si="96"/>
        <v>344.0324</v>
      </c>
      <c r="O258" s="52">
        <f>VLOOKUP($F$258,Tabsub,3)</f>
        <v>0</v>
      </c>
      <c r="P258" s="52"/>
      <c r="Q258" s="52"/>
      <c r="R258" s="52"/>
      <c r="S258" s="52"/>
      <c r="T258" s="48">
        <f t="shared" si="92"/>
        <v>3624.3676</v>
      </c>
      <c r="U258" s="46">
        <f t="shared" si="89"/>
        <v>3624.3676</v>
      </c>
    </row>
    <row r="259" spans="1:21" x14ac:dyDescent="0.3">
      <c r="A259" s="27">
        <v>144</v>
      </c>
      <c r="B259" s="108" t="s">
        <v>204</v>
      </c>
      <c r="C259" s="109" t="s">
        <v>406</v>
      </c>
      <c r="D259" s="43">
        <v>15</v>
      </c>
      <c r="E259" s="44">
        <v>271.86</v>
      </c>
      <c r="F259" s="44">
        <f t="shared" si="98"/>
        <v>4077.9</v>
      </c>
      <c r="G259" s="44"/>
      <c r="H259" s="52"/>
      <c r="I259" s="44">
        <f>VLOOKUP($F$303,Tabisr,1)</f>
        <v>3651.01</v>
      </c>
      <c r="J259" s="46">
        <f t="shared" si="99"/>
        <v>426.88999999999987</v>
      </c>
      <c r="K259" s="47">
        <f>VLOOKUP($F$303,Tabisr,4)</f>
        <v>0.16</v>
      </c>
      <c r="L259" s="44">
        <f>(F259-3651.01)*16%</f>
        <v>68.302399999999977</v>
      </c>
      <c r="M259" s="52">
        <v>293.25</v>
      </c>
      <c r="N259" s="44">
        <f>L259+M259</f>
        <v>361.55239999999998</v>
      </c>
      <c r="O259" s="44">
        <f>VLOOKUP($F$303,Tabsub,3)</f>
        <v>0</v>
      </c>
      <c r="P259" s="44"/>
      <c r="Q259" s="44"/>
      <c r="R259" s="44"/>
      <c r="S259" s="44"/>
      <c r="T259" s="48">
        <f t="shared" si="92"/>
        <v>3716.3476000000001</v>
      </c>
      <c r="U259" s="48">
        <f t="shared" si="89"/>
        <v>3716.3476000000001</v>
      </c>
    </row>
    <row r="260" spans="1:21" s="10" customFormat="1" x14ac:dyDescent="0.3">
      <c r="A260" s="29">
        <v>145</v>
      </c>
      <c r="B260" s="14" t="s">
        <v>53</v>
      </c>
      <c r="C260" s="14" t="s">
        <v>98</v>
      </c>
      <c r="D260" s="43">
        <v>15</v>
      </c>
      <c r="E260" s="52">
        <v>264.56</v>
      </c>
      <c r="F260" s="52">
        <f t="shared" si="98"/>
        <v>3968.4</v>
      </c>
      <c r="G260" s="52"/>
      <c r="H260" s="52"/>
      <c r="I260" s="52">
        <f>VLOOKUP($F$260,Tabisr,1)</f>
        <v>3651.01</v>
      </c>
      <c r="J260" s="48">
        <f t="shared" si="99"/>
        <v>317.38999999999987</v>
      </c>
      <c r="K260" s="53">
        <f>VLOOKUP($F$260,Tabisr,4)</f>
        <v>0.16</v>
      </c>
      <c r="L260" s="44">
        <f t="shared" si="97"/>
        <v>50.782399999999981</v>
      </c>
      <c r="M260" s="44">
        <v>293.25</v>
      </c>
      <c r="N260" s="44">
        <f t="shared" si="96"/>
        <v>344.0324</v>
      </c>
      <c r="O260" s="52">
        <f>VLOOKUP($F$260,Tabsub,3)</f>
        <v>0</v>
      </c>
      <c r="P260" s="52"/>
      <c r="Q260" s="52"/>
      <c r="R260" s="52"/>
      <c r="S260" s="52"/>
      <c r="T260" s="48">
        <f t="shared" si="92"/>
        <v>3624.3676</v>
      </c>
      <c r="U260" s="46">
        <f t="shared" si="89"/>
        <v>3624.3676</v>
      </c>
    </row>
    <row r="261" spans="1:21" s="10" customFormat="1" x14ac:dyDescent="0.3">
      <c r="A261" s="27">
        <v>146</v>
      </c>
      <c r="B261" s="14" t="s">
        <v>147</v>
      </c>
      <c r="C261" s="14" t="s">
        <v>98</v>
      </c>
      <c r="D261" s="43">
        <v>15</v>
      </c>
      <c r="E261" s="52">
        <v>264.56</v>
      </c>
      <c r="F261" s="52">
        <f t="shared" si="98"/>
        <v>3968.4</v>
      </c>
      <c r="G261" s="52"/>
      <c r="H261" s="52"/>
      <c r="I261" s="52">
        <f>VLOOKUP($F$260,Tabisr,1)</f>
        <v>3651.01</v>
      </c>
      <c r="J261" s="48">
        <f t="shared" si="99"/>
        <v>317.38999999999987</v>
      </c>
      <c r="K261" s="53">
        <f>VLOOKUP($F$260,Tabisr,4)</f>
        <v>0.16</v>
      </c>
      <c r="L261" s="44">
        <f>(F261-3651.01)*16%</f>
        <v>50.782399999999981</v>
      </c>
      <c r="M261" s="44">
        <v>293.25</v>
      </c>
      <c r="N261" s="44">
        <f>M261+L261</f>
        <v>344.0324</v>
      </c>
      <c r="O261" s="52">
        <f>VLOOKUP($F$260,Tabsub,3)</f>
        <v>0</v>
      </c>
      <c r="P261" s="52"/>
      <c r="Q261" s="52"/>
      <c r="R261" s="52"/>
      <c r="S261" s="52"/>
      <c r="T261" s="48">
        <f t="shared" si="92"/>
        <v>3624.3676</v>
      </c>
      <c r="U261" s="46">
        <f t="shared" si="89"/>
        <v>3624.3676</v>
      </c>
    </row>
    <row r="262" spans="1:21" s="10" customFormat="1" x14ac:dyDescent="0.3">
      <c r="A262" s="29">
        <v>147</v>
      </c>
      <c r="B262" s="14" t="s">
        <v>355</v>
      </c>
      <c r="C262" s="14" t="s">
        <v>98</v>
      </c>
      <c r="D262" s="43">
        <v>15</v>
      </c>
      <c r="E262" s="52">
        <v>264.56</v>
      </c>
      <c r="F262" s="52">
        <f t="shared" si="98"/>
        <v>3968.4</v>
      </c>
      <c r="G262" s="52"/>
      <c r="H262" s="52"/>
      <c r="I262" s="52">
        <f>VLOOKUP($F$260,Tabisr,1)</f>
        <v>3651.01</v>
      </c>
      <c r="J262" s="48">
        <f t="shared" si="99"/>
        <v>317.38999999999987</v>
      </c>
      <c r="K262" s="53">
        <f>VLOOKUP($F$260,Tabisr,4)</f>
        <v>0.16</v>
      </c>
      <c r="L262" s="52">
        <f>(F262-3651.01)*16%</f>
        <v>50.782399999999981</v>
      </c>
      <c r="M262" s="52">
        <v>293.25</v>
      </c>
      <c r="N262" s="52">
        <f>M262+L262</f>
        <v>344.0324</v>
      </c>
      <c r="O262" s="52">
        <f>VLOOKUP($F$260,Tabsub,3)</f>
        <v>0</v>
      </c>
      <c r="P262" s="52"/>
      <c r="Q262" s="52"/>
      <c r="R262" s="52"/>
      <c r="S262" s="52"/>
      <c r="T262" s="48">
        <f t="shared" si="92"/>
        <v>3624.3676</v>
      </c>
      <c r="U262" s="48">
        <f t="shared" si="89"/>
        <v>3624.3676</v>
      </c>
    </row>
    <row r="263" spans="1:21" s="10" customFormat="1" x14ac:dyDescent="0.3">
      <c r="A263" s="27">
        <v>148</v>
      </c>
      <c r="B263" s="14" t="s">
        <v>54</v>
      </c>
      <c r="C263" s="14" t="s">
        <v>97</v>
      </c>
      <c r="D263" s="43">
        <v>15</v>
      </c>
      <c r="E263" s="52">
        <v>253.77</v>
      </c>
      <c r="F263" s="52">
        <f t="shared" si="98"/>
        <v>3806.55</v>
      </c>
      <c r="G263" s="52"/>
      <c r="H263" s="52"/>
      <c r="I263" s="52">
        <f>VLOOKUP($F$263,Tabisr,1)</f>
        <v>3651.01</v>
      </c>
      <c r="J263" s="48">
        <f t="shared" si="99"/>
        <v>155.53999999999996</v>
      </c>
      <c r="K263" s="53">
        <f>VLOOKUP($F$263,Tabisr,4)</f>
        <v>0.16</v>
      </c>
      <c r="L263" s="44">
        <f t="shared" ref="L263:L273" si="100">(F263-2077.51)*10.88%</f>
        <v>188.119552</v>
      </c>
      <c r="M263" s="44">
        <v>121.95</v>
      </c>
      <c r="N263" s="44">
        <f t="shared" si="96"/>
        <v>310.06955199999999</v>
      </c>
      <c r="O263" s="52">
        <f t="shared" ref="O263:O267" si="101">VLOOKUP($F$263,Tabsub,3)</f>
        <v>0</v>
      </c>
      <c r="P263" s="52"/>
      <c r="Q263" s="52"/>
      <c r="R263" s="52"/>
      <c r="S263" s="52"/>
      <c r="T263" s="48">
        <f t="shared" si="92"/>
        <v>3496.4804480000003</v>
      </c>
      <c r="U263" s="46">
        <f t="shared" si="89"/>
        <v>3496.4804480000003</v>
      </c>
    </row>
    <row r="264" spans="1:21" s="10" customFormat="1" x14ac:dyDescent="0.3">
      <c r="A264" s="29">
        <v>149</v>
      </c>
      <c r="B264" s="14" t="s">
        <v>55</v>
      </c>
      <c r="C264" s="14" t="s">
        <v>97</v>
      </c>
      <c r="D264" s="43">
        <v>15</v>
      </c>
      <c r="E264" s="52">
        <v>253.77</v>
      </c>
      <c r="F264" s="52">
        <f t="shared" si="98"/>
        <v>3806.55</v>
      </c>
      <c r="G264" s="52"/>
      <c r="H264" s="52"/>
      <c r="I264" s="52">
        <f>VLOOKUP($F$264,Tabisr,1)</f>
        <v>3651.01</v>
      </c>
      <c r="J264" s="48">
        <f t="shared" si="99"/>
        <v>155.53999999999996</v>
      </c>
      <c r="K264" s="53">
        <f>VLOOKUP($F$264,Tabisr,4)</f>
        <v>0.16</v>
      </c>
      <c r="L264" s="52">
        <f t="shared" si="100"/>
        <v>188.119552</v>
      </c>
      <c r="M264" s="52">
        <v>121.95</v>
      </c>
      <c r="N264" s="52">
        <f t="shared" si="96"/>
        <v>310.06955199999999</v>
      </c>
      <c r="O264" s="52">
        <f t="shared" si="101"/>
        <v>0</v>
      </c>
      <c r="P264" s="52"/>
      <c r="Q264" s="52"/>
      <c r="R264" s="52"/>
      <c r="S264" s="52"/>
      <c r="T264" s="48">
        <f t="shared" si="92"/>
        <v>3496.4804480000003</v>
      </c>
      <c r="U264" s="48">
        <f t="shared" si="89"/>
        <v>3496.4804480000003</v>
      </c>
    </row>
    <row r="265" spans="1:21" s="10" customFormat="1" x14ac:dyDescent="0.3">
      <c r="A265" s="27">
        <v>150</v>
      </c>
      <c r="B265" s="14" t="s">
        <v>307</v>
      </c>
      <c r="C265" s="14" t="s">
        <v>97</v>
      </c>
      <c r="D265" s="43">
        <v>15</v>
      </c>
      <c r="E265" s="52">
        <v>253.77</v>
      </c>
      <c r="F265" s="52">
        <f t="shared" ref="F265:F270" si="102">D265*E265</f>
        <v>3806.55</v>
      </c>
      <c r="G265" s="52"/>
      <c r="H265" s="52"/>
      <c r="I265" s="52">
        <f>VLOOKUP($F$264,Tabisr,1)</f>
        <v>3651.01</v>
      </c>
      <c r="J265" s="48">
        <f t="shared" si="99"/>
        <v>155.53999999999996</v>
      </c>
      <c r="K265" s="53">
        <f>VLOOKUP($F$264,Tabisr,4)</f>
        <v>0.16</v>
      </c>
      <c r="L265" s="44">
        <f t="shared" si="100"/>
        <v>188.119552</v>
      </c>
      <c r="M265" s="44">
        <v>121.95</v>
      </c>
      <c r="N265" s="44">
        <f>M265+L265</f>
        <v>310.06955199999999</v>
      </c>
      <c r="O265" s="52">
        <f t="shared" si="101"/>
        <v>0</v>
      </c>
      <c r="P265" s="52"/>
      <c r="Q265" s="52"/>
      <c r="R265" s="52"/>
      <c r="S265" s="52"/>
      <c r="T265" s="48">
        <f t="shared" si="92"/>
        <v>3496.4804480000003</v>
      </c>
      <c r="U265" s="46">
        <f t="shared" si="89"/>
        <v>3496.4804480000003</v>
      </c>
    </row>
    <row r="266" spans="1:21" s="10" customFormat="1" x14ac:dyDescent="0.3">
      <c r="A266" s="29">
        <v>151</v>
      </c>
      <c r="B266" s="14" t="s">
        <v>308</v>
      </c>
      <c r="C266" s="14" t="s">
        <v>97</v>
      </c>
      <c r="D266" s="43">
        <v>15</v>
      </c>
      <c r="E266" s="52">
        <v>253.77</v>
      </c>
      <c r="F266" s="52">
        <f t="shared" si="102"/>
        <v>3806.55</v>
      </c>
      <c r="G266" s="52"/>
      <c r="H266" s="52"/>
      <c r="I266" s="52">
        <f>VLOOKUP($F$264,Tabisr,1)</f>
        <v>3651.01</v>
      </c>
      <c r="J266" s="48">
        <f t="shared" si="99"/>
        <v>155.53999999999996</v>
      </c>
      <c r="K266" s="53">
        <f>VLOOKUP($F$264,Tabisr,4)</f>
        <v>0.16</v>
      </c>
      <c r="L266" s="44">
        <f t="shared" si="100"/>
        <v>188.119552</v>
      </c>
      <c r="M266" s="44">
        <v>121.95</v>
      </c>
      <c r="N266" s="44">
        <f>M266+L266</f>
        <v>310.06955199999999</v>
      </c>
      <c r="O266" s="52">
        <f t="shared" si="101"/>
        <v>0</v>
      </c>
      <c r="P266" s="52"/>
      <c r="Q266" s="52"/>
      <c r="R266" s="52"/>
      <c r="S266" s="52"/>
      <c r="T266" s="48">
        <f t="shared" si="92"/>
        <v>3496.4804480000003</v>
      </c>
      <c r="U266" s="46">
        <f t="shared" si="89"/>
        <v>3496.4804480000003</v>
      </c>
    </row>
    <row r="267" spans="1:21" s="12" customFormat="1" x14ac:dyDescent="0.3">
      <c r="A267" s="27">
        <v>152</v>
      </c>
      <c r="B267" s="14" t="s">
        <v>376</v>
      </c>
      <c r="C267" s="14" t="s">
        <v>97</v>
      </c>
      <c r="D267" s="43">
        <v>15</v>
      </c>
      <c r="E267" s="52">
        <v>253.77</v>
      </c>
      <c r="F267" s="52">
        <f>D267*E267</f>
        <v>3806.55</v>
      </c>
      <c r="G267" s="52"/>
      <c r="H267" s="52"/>
      <c r="I267" s="52">
        <f>VLOOKUP($F$264,Tabisr,1)</f>
        <v>3651.01</v>
      </c>
      <c r="J267" s="48">
        <f t="shared" si="99"/>
        <v>155.53999999999996</v>
      </c>
      <c r="K267" s="53">
        <f>VLOOKUP($F$264,Tabisr,4)</f>
        <v>0.16</v>
      </c>
      <c r="L267" s="52">
        <f t="shared" si="100"/>
        <v>188.119552</v>
      </c>
      <c r="M267" s="52">
        <v>122.95</v>
      </c>
      <c r="N267" s="52">
        <v>315.45</v>
      </c>
      <c r="O267" s="52">
        <f t="shared" si="101"/>
        <v>0</v>
      </c>
      <c r="P267" s="52"/>
      <c r="Q267" s="52"/>
      <c r="R267" s="52"/>
      <c r="S267" s="52"/>
      <c r="T267" s="48">
        <f t="shared" si="92"/>
        <v>3491.1000000000004</v>
      </c>
      <c r="U267" s="48">
        <f t="shared" si="89"/>
        <v>3491.1000000000004</v>
      </c>
    </row>
    <row r="268" spans="1:21" s="12" customFormat="1" x14ac:dyDescent="0.3">
      <c r="A268" s="149">
        <v>153</v>
      </c>
      <c r="B268" s="150" t="s">
        <v>303</v>
      </c>
      <c r="C268" s="150" t="s">
        <v>97</v>
      </c>
      <c r="D268" s="85">
        <v>15</v>
      </c>
      <c r="E268" s="151">
        <v>253.77</v>
      </c>
      <c r="F268" s="151"/>
      <c r="G268" s="151"/>
      <c r="H268" s="86"/>
      <c r="I268" s="151"/>
      <c r="J268" s="152"/>
      <c r="K268" s="153"/>
      <c r="L268" s="151"/>
      <c r="M268" s="151"/>
      <c r="N268" s="151"/>
      <c r="O268" s="151"/>
      <c r="P268" s="151"/>
      <c r="Q268" s="151"/>
      <c r="R268" s="151"/>
      <c r="S268" s="151"/>
      <c r="T268" s="152"/>
      <c r="U268" s="152"/>
    </row>
    <row r="269" spans="1:21" s="10" customFormat="1" x14ac:dyDescent="0.3">
      <c r="A269" s="27">
        <v>154</v>
      </c>
      <c r="B269" s="14" t="s">
        <v>128</v>
      </c>
      <c r="C269" s="14" t="s">
        <v>96</v>
      </c>
      <c r="D269" s="43">
        <v>15</v>
      </c>
      <c r="E269" s="52">
        <v>253.77</v>
      </c>
      <c r="F269" s="52">
        <f t="shared" si="102"/>
        <v>3806.55</v>
      </c>
      <c r="G269" s="52"/>
      <c r="H269" s="52"/>
      <c r="I269" s="52">
        <f>VLOOKUP($F$269,Tabisr,1)</f>
        <v>3651.01</v>
      </c>
      <c r="J269" s="48">
        <f t="shared" si="99"/>
        <v>155.53999999999996</v>
      </c>
      <c r="K269" s="53">
        <f>VLOOKUP($F$269,Tabisr,4)</f>
        <v>0.16</v>
      </c>
      <c r="L269" s="44">
        <f t="shared" si="100"/>
        <v>188.119552</v>
      </c>
      <c r="M269" s="44">
        <v>121.95</v>
      </c>
      <c r="N269" s="44">
        <f t="shared" si="96"/>
        <v>310.06955199999999</v>
      </c>
      <c r="O269" s="52">
        <f>VLOOKUP($F$263,Tabsub,3)</f>
        <v>0</v>
      </c>
      <c r="P269" s="52"/>
      <c r="Q269" s="52"/>
      <c r="R269" s="52"/>
      <c r="S269" s="52"/>
      <c r="T269" s="48">
        <f t="shared" si="92"/>
        <v>3496.4804480000003</v>
      </c>
      <c r="U269" s="46">
        <f t="shared" si="89"/>
        <v>3496.4804480000003</v>
      </c>
    </row>
    <row r="270" spans="1:21" s="10" customFormat="1" x14ac:dyDescent="0.3">
      <c r="A270" s="29">
        <v>155</v>
      </c>
      <c r="B270" s="14" t="s">
        <v>364</v>
      </c>
      <c r="C270" s="14" t="s">
        <v>280</v>
      </c>
      <c r="D270" s="43">
        <v>15</v>
      </c>
      <c r="E270" s="52">
        <v>253.77</v>
      </c>
      <c r="F270" s="52">
        <f t="shared" si="102"/>
        <v>3806.55</v>
      </c>
      <c r="G270" s="52"/>
      <c r="H270" s="52"/>
      <c r="I270" s="52">
        <f>VLOOKUP($F$264,Tabisr,1)</f>
        <v>3651.01</v>
      </c>
      <c r="J270" s="48">
        <f t="shared" si="99"/>
        <v>155.53999999999996</v>
      </c>
      <c r="K270" s="53">
        <f>VLOOKUP($F$264,Tabisr,4)</f>
        <v>0.16</v>
      </c>
      <c r="L270" s="52">
        <f t="shared" si="100"/>
        <v>188.119552</v>
      </c>
      <c r="M270" s="52">
        <v>121.95</v>
      </c>
      <c r="N270" s="52">
        <f>M270+L270</f>
        <v>310.06955199999999</v>
      </c>
      <c r="O270" s="52">
        <f>VLOOKUP($F$263,Tabsub,3)</f>
        <v>0</v>
      </c>
      <c r="P270" s="52"/>
      <c r="Q270" s="52"/>
      <c r="R270" s="52"/>
      <c r="S270" s="52"/>
      <c r="T270" s="48">
        <f t="shared" si="92"/>
        <v>3496.4804480000003</v>
      </c>
      <c r="U270" s="48">
        <f t="shared" si="89"/>
        <v>3496.4804480000003</v>
      </c>
    </row>
    <row r="271" spans="1:21" s="10" customFormat="1" x14ac:dyDescent="0.3">
      <c r="A271" s="27">
        <v>156</v>
      </c>
      <c r="B271" s="14" t="s">
        <v>56</v>
      </c>
      <c r="C271" s="14" t="s">
        <v>96</v>
      </c>
      <c r="D271" s="43">
        <v>15</v>
      </c>
      <c r="E271" s="52">
        <v>253.77</v>
      </c>
      <c r="F271" s="52">
        <f>D271*E271</f>
        <v>3806.55</v>
      </c>
      <c r="G271" s="52"/>
      <c r="H271" s="52"/>
      <c r="I271" s="52">
        <f>VLOOKUP($F$271,Tabisr,1)</f>
        <v>3651.01</v>
      </c>
      <c r="J271" s="48">
        <f t="shared" si="99"/>
        <v>155.53999999999996</v>
      </c>
      <c r="K271" s="53">
        <f>VLOOKUP($F$271,Tabisr,4)</f>
        <v>0.16</v>
      </c>
      <c r="L271" s="44">
        <f t="shared" si="100"/>
        <v>188.119552</v>
      </c>
      <c r="M271" s="44">
        <v>121.95</v>
      </c>
      <c r="N271" s="44">
        <f>M271+L271</f>
        <v>310.06955199999999</v>
      </c>
      <c r="O271" s="52">
        <f>VLOOKUP($F$263,Tabsub,3)</f>
        <v>0</v>
      </c>
      <c r="P271" s="52"/>
      <c r="Q271" s="52"/>
      <c r="R271" s="52"/>
      <c r="S271" s="52"/>
      <c r="T271" s="48">
        <f t="shared" si="92"/>
        <v>3496.4804480000003</v>
      </c>
      <c r="U271" s="46">
        <f t="shared" si="89"/>
        <v>3496.4804480000003</v>
      </c>
    </row>
    <row r="272" spans="1:21" s="10" customFormat="1" x14ac:dyDescent="0.3">
      <c r="A272" s="27">
        <v>157</v>
      </c>
      <c r="B272" s="14" t="s">
        <v>57</v>
      </c>
      <c r="C272" s="14" t="s">
        <v>95</v>
      </c>
      <c r="D272" s="43">
        <v>15</v>
      </c>
      <c r="E272" s="52">
        <v>253.77</v>
      </c>
      <c r="F272" s="52">
        <f>D272*E272</f>
        <v>3806.55</v>
      </c>
      <c r="G272" s="52"/>
      <c r="H272" s="52"/>
      <c r="I272" s="52">
        <f>VLOOKUP($F$272,Tabisr,1)</f>
        <v>3651.01</v>
      </c>
      <c r="J272" s="48">
        <f t="shared" si="99"/>
        <v>155.53999999999996</v>
      </c>
      <c r="K272" s="53">
        <f>VLOOKUP($F$272,Tabisr,4)</f>
        <v>0.16</v>
      </c>
      <c r="L272" s="52">
        <f t="shared" si="100"/>
        <v>188.119552</v>
      </c>
      <c r="M272" s="52">
        <v>121.95</v>
      </c>
      <c r="N272" s="52">
        <f>M272+L272</f>
        <v>310.06955199999999</v>
      </c>
      <c r="O272" s="52">
        <f>VLOOKUP($F$263,Tabsub,3)</f>
        <v>0</v>
      </c>
      <c r="P272" s="52"/>
      <c r="Q272" s="52"/>
      <c r="R272" s="52"/>
      <c r="S272" s="52"/>
      <c r="T272" s="48">
        <f t="shared" si="92"/>
        <v>3496.4804480000003</v>
      </c>
      <c r="U272" s="48">
        <f t="shared" si="89"/>
        <v>3496.4804480000003</v>
      </c>
    </row>
    <row r="273" spans="1:21" s="10" customFormat="1" x14ac:dyDescent="0.3">
      <c r="A273" s="27">
        <v>158</v>
      </c>
      <c r="B273" s="14" t="s">
        <v>58</v>
      </c>
      <c r="C273" s="108" t="s">
        <v>95</v>
      </c>
      <c r="D273" s="43">
        <v>15</v>
      </c>
      <c r="E273" s="52">
        <v>253.77</v>
      </c>
      <c r="F273" s="44">
        <f>D273*E273</f>
        <v>3806.55</v>
      </c>
      <c r="G273" s="44"/>
      <c r="H273" s="52"/>
      <c r="I273" s="44">
        <f>VLOOKUP($F$273,Tabisr,1)</f>
        <v>3651.01</v>
      </c>
      <c r="J273" s="46">
        <f t="shared" si="99"/>
        <v>155.53999999999996</v>
      </c>
      <c r="K273" s="47">
        <f>VLOOKUP($F$273,Tabisr,4)</f>
        <v>0.16</v>
      </c>
      <c r="L273" s="44">
        <f t="shared" si="100"/>
        <v>188.119552</v>
      </c>
      <c r="M273" s="44">
        <v>121.95</v>
      </c>
      <c r="N273" s="44">
        <f>M273+L273</f>
        <v>310.06955199999999</v>
      </c>
      <c r="O273" s="52">
        <f>VLOOKUP($F$263,Tabsub,3)</f>
        <v>0</v>
      </c>
      <c r="P273" s="44"/>
      <c r="Q273" s="44"/>
      <c r="R273" s="44"/>
      <c r="S273" s="52"/>
      <c r="T273" s="48">
        <f t="shared" si="92"/>
        <v>3496.4804480000003</v>
      </c>
      <c r="U273" s="46">
        <f t="shared" si="89"/>
        <v>3496.4804480000003</v>
      </c>
    </row>
    <row r="274" spans="1:21" s="10" customFormat="1" x14ac:dyDescent="0.3">
      <c r="A274" s="24"/>
      <c r="B274" s="114"/>
      <c r="C274" s="115"/>
      <c r="D274" s="64"/>
      <c r="E274" s="64"/>
      <c r="F274" s="65">
        <f>+SUM(F240:F273)</f>
        <v>140086.35</v>
      </c>
      <c r="G274" s="132">
        <f>+SUM(G240:G273)</f>
        <v>0</v>
      </c>
      <c r="H274" s="132">
        <f t="shared" ref="H274:U274" si="103">+SUM(H240:H273)</f>
        <v>0</v>
      </c>
      <c r="I274" s="132">
        <f t="shared" si="103"/>
        <v>127738.32999999993</v>
      </c>
      <c r="J274" s="132">
        <f t="shared" si="103"/>
        <v>12348.020000000004</v>
      </c>
      <c r="K274" s="132">
        <f t="shared" si="103"/>
        <v>5.5368000000000022</v>
      </c>
      <c r="L274" s="132">
        <f t="shared" si="103"/>
        <v>5477.1314240000011</v>
      </c>
      <c r="M274" s="132">
        <f t="shared" si="103"/>
        <v>7595.7999999999975</v>
      </c>
      <c r="N274" s="132">
        <f t="shared" si="103"/>
        <v>13043.419472000009</v>
      </c>
      <c r="O274" s="132">
        <f t="shared" si="103"/>
        <v>0</v>
      </c>
      <c r="P274" s="132">
        <f t="shared" si="103"/>
        <v>0</v>
      </c>
      <c r="Q274" s="132">
        <f t="shared" si="103"/>
        <v>0</v>
      </c>
      <c r="R274" s="132">
        <f t="shared" si="103"/>
        <v>0</v>
      </c>
      <c r="S274" s="132">
        <f t="shared" si="103"/>
        <v>0</v>
      </c>
      <c r="T274" s="132">
        <f t="shared" si="103"/>
        <v>127042.93052800001</v>
      </c>
      <c r="U274" s="132">
        <f t="shared" si="103"/>
        <v>127042.93052800001</v>
      </c>
    </row>
    <row r="275" spans="1:21" s="10" customFormat="1" x14ac:dyDescent="0.3">
      <c r="A275" s="24"/>
      <c r="B275" s="114"/>
      <c r="C275" s="115"/>
      <c r="D275" s="64"/>
      <c r="E275" s="64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</row>
    <row r="276" spans="1:21" s="10" customFormat="1" ht="18.75" customHeight="1" x14ac:dyDescent="0.3">
      <c r="A276" s="175" t="s">
        <v>262</v>
      </c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</row>
    <row r="277" spans="1:21" ht="32.25" customHeight="1" x14ac:dyDescent="0.3">
      <c r="A277" s="21" t="s">
        <v>69</v>
      </c>
      <c r="B277" s="21" t="s">
        <v>17</v>
      </c>
      <c r="C277" s="21" t="s">
        <v>84</v>
      </c>
      <c r="D277" s="21" t="s">
        <v>27</v>
      </c>
      <c r="E277" s="21" t="s">
        <v>19</v>
      </c>
      <c r="F277" s="21" t="s">
        <v>18</v>
      </c>
      <c r="G277" s="21" t="s">
        <v>66</v>
      </c>
      <c r="H277" s="21" t="s">
        <v>74</v>
      </c>
      <c r="I277" s="37" t="s">
        <v>188</v>
      </c>
      <c r="J277" s="37" t="s">
        <v>189</v>
      </c>
      <c r="K277" s="37" t="s">
        <v>190</v>
      </c>
      <c r="L277" s="37" t="s">
        <v>191</v>
      </c>
      <c r="M277" s="21" t="s">
        <v>192</v>
      </c>
      <c r="N277" s="21" t="s">
        <v>67</v>
      </c>
      <c r="O277" s="21" t="s">
        <v>68</v>
      </c>
      <c r="P277" s="21" t="s">
        <v>20</v>
      </c>
      <c r="Q277" s="21" t="s">
        <v>299</v>
      </c>
      <c r="R277" s="21" t="s">
        <v>72</v>
      </c>
      <c r="S277" s="21" t="s">
        <v>82</v>
      </c>
      <c r="T277" s="21" t="s">
        <v>80</v>
      </c>
      <c r="U277" s="21" t="s">
        <v>81</v>
      </c>
    </row>
    <row r="278" spans="1:21" s="10" customFormat="1" x14ac:dyDescent="0.3">
      <c r="A278" s="22">
        <v>159</v>
      </c>
      <c r="B278" s="14" t="s">
        <v>139</v>
      </c>
      <c r="C278" s="15" t="s">
        <v>135</v>
      </c>
      <c r="D278" s="43">
        <v>15</v>
      </c>
      <c r="E278" s="52">
        <v>312.26</v>
      </c>
      <c r="F278" s="52">
        <f>D278*E278</f>
        <v>4683.8999999999996</v>
      </c>
      <c r="G278" s="52"/>
      <c r="H278" s="52"/>
      <c r="I278" s="52">
        <f>VLOOKUP($F$69,Tabisr,1)</f>
        <v>5081.01</v>
      </c>
      <c r="J278" s="48">
        <f>+F278-I278</f>
        <v>-397.11000000000058</v>
      </c>
      <c r="K278" s="53">
        <f>VLOOKUP($F$69,Tabisr,4)</f>
        <v>0.21360000000000001</v>
      </c>
      <c r="L278" s="52">
        <f>(F278-4244.01)*17.92%</f>
        <v>78.828287999999901</v>
      </c>
      <c r="M278" s="52">
        <v>388.05</v>
      </c>
      <c r="N278" s="52">
        <f>L278+M278</f>
        <v>466.87828799999988</v>
      </c>
      <c r="O278" s="52">
        <f>VLOOKUP($F$69,Tabsub,3)</f>
        <v>0</v>
      </c>
      <c r="P278" s="52"/>
      <c r="Q278" s="52"/>
      <c r="R278" s="52"/>
      <c r="S278" s="52"/>
      <c r="T278" s="48">
        <f>F278+G278+H278-N278+O278-P278-Q278-R278-S278</f>
        <v>4217.0217119999998</v>
      </c>
      <c r="U278" s="48">
        <f>T278-G278</f>
        <v>4217.0217119999998</v>
      </c>
    </row>
    <row r="279" spans="1:21" s="10" customFormat="1" x14ac:dyDescent="0.3">
      <c r="A279" s="30"/>
      <c r="B279" s="118"/>
      <c r="C279" s="119"/>
      <c r="D279" s="34"/>
      <c r="E279" s="34"/>
      <c r="F279" s="83">
        <f>+F278</f>
        <v>4683.8999999999996</v>
      </c>
      <c r="G279" s="83">
        <f t="shared" ref="G279:U279" si="104">+G278</f>
        <v>0</v>
      </c>
      <c r="H279" s="83">
        <f t="shared" si="104"/>
        <v>0</v>
      </c>
      <c r="I279" s="83">
        <f t="shared" si="104"/>
        <v>5081.01</v>
      </c>
      <c r="J279" s="83">
        <f t="shared" si="104"/>
        <v>-397.11000000000058</v>
      </c>
      <c r="K279" s="83">
        <f t="shared" si="104"/>
        <v>0.21360000000000001</v>
      </c>
      <c r="L279" s="83">
        <f t="shared" si="104"/>
        <v>78.828287999999901</v>
      </c>
      <c r="M279" s="83">
        <f t="shared" si="104"/>
        <v>388.05</v>
      </c>
      <c r="N279" s="83">
        <f t="shared" si="104"/>
        <v>466.87828799999988</v>
      </c>
      <c r="O279" s="83">
        <f t="shared" si="104"/>
        <v>0</v>
      </c>
      <c r="P279" s="83">
        <f t="shared" si="104"/>
        <v>0</v>
      </c>
      <c r="Q279" s="83">
        <f t="shared" si="104"/>
        <v>0</v>
      </c>
      <c r="R279" s="83">
        <f t="shared" si="104"/>
        <v>0</v>
      </c>
      <c r="S279" s="83">
        <f t="shared" si="104"/>
        <v>0</v>
      </c>
      <c r="T279" s="83">
        <f t="shared" si="104"/>
        <v>4217.0217119999998</v>
      </c>
      <c r="U279" s="83">
        <f t="shared" si="104"/>
        <v>4217.0217119999998</v>
      </c>
    </row>
    <row r="280" spans="1:21" s="10" customFormat="1" x14ac:dyDescent="0.3">
      <c r="A280" s="30"/>
      <c r="B280" s="118"/>
      <c r="C280" s="119"/>
      <c r="D280" s="34"/>
      <c r="E280" s="34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</row>
    <row r="281" spans="1:21" s="10" customFormat="1" x14ac:dyDescent="0.3">
      <c r="A281" s="30"/>
      <c r="B281" s="118"/>
      <c r="C281" s="119"/>
      <c r="D281" s="34"/>
      <c r="E281" s="34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</row>
    <row r="282" spans="1:21" ht="18" x14ac:dyDescent="0.3">
      <c r="A282" s="173" t="s">
        <v>158</v>
      </c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</row>
    <row r="283" spans="1:21" ht="39.75" customHeight="1" x14ac:dyDescent="0.3">
      <c r="A283" s="21" t="s">
        <v>69</v>
      </c>
      <c r="B283" s="21" t="s">
        <v>17</v>
      </c>
      <c r="C283" s="21" t="s">
        <v>84</v>
      </c>
      <c r="D283" s="21" t="s">
        <v>27</v>
      </c>
      <c r="E283" s="21" t="s">
        <v>19</v>
      </c>
      <c r="F283" s="21" t="s">
        <v>18</v>
      </c>
      <c r="G283" s="21" t="s">
        <v>66</v>
      </c>
      <c r="H283" s="21" t="s">
        <v>74</v>
      </c>
      <c r="I283" s="37" t="s">
        <v>188</v>
      </c>
      <c r="J283" s="37" t="s">
        <v>189</v>
      </c>
      <c r="K283" s="37" t="s">
        <v>190</v>
      </c>
      <c r="L283" s="37" t="s">
        <v>191</v>
      </c>
      <c r="M283" s="21" t="s">
        <v>192</v>
      </c>
      <c r="N283" s="21" t="s">
        <v>67</v>
      </c>
      <c r="O283" s="21" t="s">
        <v>68</v>
      </c>
      <c r="P283" s="21" t="s">
        <v>20</v>
      </c>
      <c r="Q283" s="21" t="s">
        <v>299</v>
      </c>
      <c r="R283" s="21" t="s">
        <v>72</v>
      </c>
      <c r="S283" s="21" t="s">
        <v>82</v>
      </c>
      <c r="T283" s="21" t="s">
        <v>80</v>
      </c>
      <c r="U283" s="21" t="s">
        <v>81</v>
      </c>
    </row>
    <row r="284" spans="1:21" x14ac:dyDescent="0.3">
      <c r="A284" s="32"/>
      <c r="B284" s="120" t="s">
        <v>303</v>
      </c>
      <c r="C284" s="120" t="s">
        <v>158</v>
      </c>
      <c r="D284" s="85"/>
      <c r="E284" s="86"/>
      <c r="F284" s="86"/>
      <c r="G284" s="86"/>
      <c r="H284" s="86"/>
      <c r="I284" s="86"/>
      <c r="J284" s="87"/>
      <c r="K284" s="172"/>
      <c r="L284" s="86"/>
      <c r="M284" s="86"/>
      <c r="N284" s="86"/>
      <c r="O284" s="86"/>
      <c r="P284" s="86"/>
      <c r="Q284" s="86"/>
      <c r="R284" s="86"/>
      <c r="S284" s="86"/>
      <c r="T284" s="87"/>
      <c r="U284" s="87"/>
    </row>
    <row r="285" spans="1:21" ht="19.2" x14ac:dyDescent="0.3">
      <c r="A285" s="22">
        <v>161</v>
      </c>
      <c r="B285" s="14" t="s">
        <v>290</v>
      </c>
      <c r="C285" s="113" t="s">
        <v>291</v>
      </c>
      <c r="D285" s="43">
        <v>15</v>
      </c>
      <c r="E285" s="52">
        <v>337.04</v>
      </c>
      <c r="F285" s="52">
        <f>D285*E285</f>
        <v>5055.6000000000004</v>
      </c>
      <c r="G285" s="52"/>
      <c r="H285" s="52"/>
      <c r="I285" s="52" t="e">
        <f>VLOOKUP($F$284,Tabisr,1)</f>
        <v>#N/A</v>
      </c>
      <c r="J285" s="48" t="e">
        <f>+F285-I285</f>
        <v>#N/A</v>
      </c>
      <c r="K285" s="53" t="e">
        <f>VLOOKUP($F$284,Tabisr,4)</f>
        <v>#N/A</v>
      </c>
      <c r="L285" s="52">
        <f>(F285-4244.01)*17.92%</f>
        <v>145.43692800000005</v>
      </c>
      <c r="M285" s="52">
        <v>388.05</v>
      </c>
      <c r="N285" s="52">
        <f>L285+M285</f>
        <v>533.48692800000003</v>
      </c>
      <c r="O285" s="52">
        <f>VLOOKUP($F$69,Tabsub,3)</f>
        <v>0</v>
      </c>
      <c r="P285" s="52"/>
      <c r="Q285" s="52"/>
      <c r="R285" s="52"/>
      <c r="S285" s="52"/>
      <c r="T285" s="48">
        <f>F285+G285+H285-N285+O285-P285-Q285-R285-S285</f>
        <v>4522.1130720000001</v>
      </c>
      <c r="U285" s="48">
        <f>T285-G285</f>
        <v>4522.1130720000001</v>
      </c>
    </row>
    <row r="286" spans="1:21" x14ac:dyDescent="0.3">
      <c r="A286" s="31"/>
      <c r="B286" s="110"/>
      <c r="C286" s="110"/>
      <c r="D286" s="49"/>
      <c r="E286" s="50"/>
      <c r="F286" s="51">
        <f>+SUM(F284:F285)</f>
        <v>5055.6000000000004</v>
      </c>
      <c r="G286" s="51">
        <f>+SUM(G284:G285)</f>
        <v>0</v>
      </c>
      <c r="H286" s="51">
        <f t="shared" ref="H286:U286" si="105">+SUM(H284:H285)</f>
        <v>0</v>
      </c>
      <c r="I286" s="51" t="e">
        <f t="shared" si="105"/>
        <v>#N/A</v>
      </c>
      <c r="J286" s="51" t="e">
        <f t="shared" si="105"/>
        <v>#N/A</v>
      </c>
      <c r="K286" s="51" t="e">
        <f t="shared" si="105"/>
        <v>#N/A</v>
      </c>
      <c r="L286" s="51">
        <f t="shared" si="105"/>
        <v>145.43692800000005</v>
      </c>
      <c r="M286" s="51">
        <f t="shared" si="105"/>
        <v>388.05</v>
      </c>
      <c r="N286" s="51">
        <f t="shared" si="105"/>
        <v>533.48692800000003</v>
      </c>
      <c r="O286" s="51">
        <f t="shared" si="105"/>
        <v>0</v>
      </c>
      <c r="P286" s="51">
        <f t="shared" si="105"/>
        <v>0</v>
      </c>
      <c r="Q286" s="51">
        <f t="shared" si="105"/>
        <v>0</v>
      </c>
      <c r="R286" s="51">
        <f t="shared" si="105"/>
        <v>0</v>
      </c>
      <c r="S286" s="51">
        <f t="shared" si="105"/>
        <v>0</v>
      </c>
      <c r="T286" s="51">
        <f t="shared" si="105"/>
        <v>4522.1130720000001</v>
      </c>
      <c r="U286" s="51">
        <f t="shared" si="105"/>
        <v>4522.1130720000001</v>
      </c>
    </row>
    <row r="287" spans="1:21" ht="18" x14ac:dyDescent="0.3">
      <c r="A287" s="173" t="s">
        <v>263</v>
      </c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</row>
    <row r="288" spans="1:21" ht="35.25" customHeight="1" x14ac:dyDescent="0.3">
      <c r="A288" s="21" t="s">
        <v>69</v>
      </c>
      <c r="B288" s="21" t="s">
        <v>17</v>
      </c>
      <c r="C288" s="21" t="s">
        <v>84</v>
      </c>
      <c r="D288" s="21" t="s">
        <v>27</v>
      </c>
      <c r="E288" s="21" t="s">
        <v>19</v>
      </c>
      <c r="F288" s="21" t="s">
        <v>18</v>
      </c>
      <c r="G288" s="21" t="s">
        <v>66</v>
      </c>
      <c r="H288" s="21" t="s">
        <v>74</v>
      </c>
      <c r="I288" s="37" t="s">
        <v>188</v>
      </c>
      <c r="J288" s="37" t="s">
        <v>189</v>
      </c>
      <c r="K288" s="37" t="s">
        <v>190</v>
      </c>
      <c r="L288" s="37" t="s">
        <v>191</v>
      </c>
      <c r="M288" s="21" t="s">
        <v>192</v>
      </c>
      <c r="N288" s="21" t="s">
        <v>67</v>
      </c>
      <c r="O288" s="21" t="s">
        <v>68</v>
      </c>
      <c r="P288" s="21" t="s">
        <v>20</v>
      </c>
      <c r="Q288" s="21" t="s">
        <v>299</v>
      </c>
      <c r="R288" s="21" t="s">
        <v>72</v>
      </c>
      <c r="S288" s="21" t="s">
        <v>82</v>
      </c>
      <c r="T288" s="21" t="s">
        <v>80</v>
      </c>
      <c r="U288" s="21" t="s">
        <v>81</v>
      </c>
    </row>
    <row r="289" spans="1:21" x14ac:dyDescent="0.3">
      <c r="A289" s="22">
        <v>162</v>
      </c>
      <c r="B289" s="14" t="s">
        <v>276</v>
      </c>
      <c r="C289" s="14" t="s">
        <v>359</v>
      </c>
      <c r="D289" s="43">
        <v>15</v>
      </c>
      <c r="E289" s="52">
        <v>661.33</v>
      </c>
      <c r="F289" s="52">
        <f t="shared" ref="F289:F294" si="106">D289*E289</f>
        <v>9919.9500000000007</v>
      </c>
      <c r="G289" s="52"/>
      <c r="H289" s="52"/>
      <c r="I289" s="52">
        <f>VLOOKUP($F$215,Tabisr,1)</f>
        <v>5081.01</v>
      </c>
      <c r="J289" s="48">
        <f t="shared" ref="J289:J294" si="107">+F289-I289</f>
        <v>4838.9400000000005</v>
      </c>
      <c r="K289" s="53">
        <f>VLOOKUP($F$215,Tabisr,4)</f>
        <v>0.21360000000000001</v>
      </c>
      <c r="L289" s="52">
        <f>(F289-5081.01)*21.36%</f>
        <v>1033.5975840000001</v>
      </c>
      <c r="M289" s="52">
        <v>538.20000000000005</v>
      </c>
      <c r="N289" s="52">
        <f t="shared" ref="N289:N294" si="108">L289+M289</f>
        <v>1571.7975840000001</v>
      </c>
      <c r="O289" s="52">
        <f>VLOOKUP($F$215,Tabsub,3)</f>
        <v>0</v>
      </c>
      <c r="P289" s="52"/>
      <c r="Q289" s="52"/>
      <c r="R289" s="52"/>
      <c r="S289" s="52"/>
      <c r="T289" s="48">
        <f t="shared" ref="T289:T294" si="109">F289+G289+H289-N289+O289-P289-Q289-R289-S289</f>
        <v>8348.1524160000008</v>
      </c>
      <c r="U289" s="48">
        <f t="shared" ref="U289:U294" si="110">T289-G289</f>
        <v>8348.1524160000008</v>
      </c>
    </row>
    <row r="290" spans="1:21" s="10" customFormat="1" x14ac:dyDescent="0.3">
      <c r="A290" s="23">
        <v>163</v>
      </c>
      <c r="B290" s="14" t="s">
        <v>6</v>
      </c>
      <c r="C290" s="109" t="s">
        <v>98</v>
      </c>
      <c r="D290" s="43">
        <v>15</v>
      </c>
      <c r="E290" s="44">
        <v>271.86</v>
      </c>
      <c r="F290" s="44">
        <f t="shared" si="106"/>
        <v>4077.9</v>
      </c>
      <c r="G290" s="44"/>
      <c r="H290" s="44"/>
      <c r="I290" s="44">
        <f>VLOOKUP($F$291,Tabisr,1)</f>
        <v>3651.01</v>
      </c>
      <c r="J290" s="46">
        <f t="shared" si="107"/>
        <v>426.88999999999987</v>
      </c>
      <c r="K290" s="47">
        <f>VLOOKUP($F$291,Tabisr,4)</f>
        <v>0.16</v>
      </c>
      <c r="L290" s="44">
        <f>(F290-3651.01)*16%</f>
        <v>68.302399999999977</v>
      </c>
      <c r="M290" s="44">
        <v>293.25</v>
      </c>
      <c r="N290" s="44">
        <f t="shared" si="108"/>
        <v>361.55239999999998</v>
      </c>
      <c r="O290" s="44">
        <f>VLOOKUP($F$290,Tabsub,3)</f>
        <v>0</v>
      </c>
      <c r="P290" s="40"/>
      <c r="Q290" s="40"/>
      <c r="R290" s="45"/>
      <c r="S290" s="45"/>
      <c r="T290" s="48">
        <f t="shared" si="109"/>
        <v>3716.3476000000001</v>
      </c>
      <c r="U290" s="46">
        <f t="shared" si="110"/>
        <v>3716.3476000000001</v>
      </c>
    </row>
    <row r="291" spans="1:21" s="10" customFormat="1" ht="23.25" customHeight="1" x14ac:dyDescent="0.3">
      <c r="A291" s="22">
        <v>164</v>
      </c>
      <c r="B291" s="108" t="s">
        <v>33</v>
      </c>
      <c r="C291" s="109" t="s">
        <v>98</v>
      </c>
      <c r="D291" s="43">
        <v>15</v>
      </c>
      <c r="E291" s="44">
        <v>271.86</v>
      </c>
      <c r="F291" s="44">
        <f t="shared" si="106"/>
        <v>4077.9</v>
      </c>
      <c r="G291" s="44"/>
      <c r="H291" s="44"/>
      <c r="I291" s="44">
        <f>VLOOKUP($F$291,Tabisr,1)</f>
        <v>3651.01</v>
      </c>
      <c r="J291" s="46">
        <f t="shared" si="107"/>
        <v>426.88999999999987</v>
      </c>
      <c r="K291" s="47">
        <f>VLOOKUP($F$291,Tabisr,4)</f>
        <v>0.16</v>
      </c>
      <c r="L291" s="44">
        <f>(F291-3651.01)*16%</f>
        <v>68.302399999999977</v>
      </c>
      <c r="M291" s="52">
        <v>293.25</v>
      </c>
      <c r="N291" s="44">
        <f t="shared" si="108"/>
        <v>361.55239999999998</v>
      </c>
      <c r="O291" s="44">
        <f>VLOOKUP($F$291,Tabsub,3)</f>
        <v>0</v>
      </c>
      <c r="P291" s="44"/>
      <c r="Q291" s="44"/>
      <c r="R291" s="44"/>
      <c r="S291" s="44"/>
      <c r="T291" s="48">
        <f t="shared" si="109"/>
        <v>3716.3476000000001</v>
      </c>
      <c r="U291" s="48">
        <f t="shared" si="110"/>
        <v>3716.3476000000001</v>
      </c>
    </row>
    <row r="292" spans="1:21" x14ac:dyDescent="0.3">
      <c r="A292" s="22">
        <v>165</v>
      </c>
      <c r="B292" s="14" t="s">
        <v>207</v>
      </c>
      <c r="C292" s="109" t="s">
        <v>98</v>
      </c>
      <c r="D292" s="43">
        <v>15</v>
      </c>
      <c r="E292" s="44">
        <v>271.86</v>
      </c>
      <c r="F292" s="44">
        <f t="shared" si="106"/>
        <v>4077.9</v>
      </c>
      <c r="G292" s="44"/>
      <c r="H292" s="44"/>
      <c r="I292" s="44">
        <f>VLOOKUP($F$291,Tabisr,1)</f>
        <v>3651.01</v>
      </c>
      <c r="J292" s="46">
        <f t="shared" si="107"/>
        <v>426.88999999999987</v>
      </c>
      <c r="K292" s="47">
        <f>VLOOKUP($F$291,Tabisr,4)</f>
        <v>0.16</v>
      </c>
      <c r="L292" s="44">
        <f>(F292-3651.01)*16%</f>
        <v>68.302399999999977</v>
      </c>
      <c r="M292" s="52">
        <v>293.25</v>
      </c>
      <c r="N292" s="44">
        <f t="shared" si="108"/>
        <v>361.55239999999998</v>
      </c>
      <c r="O292" s="44">
        <f>VLOOKUP($F$291,Tabsub,3)</f>
        <v>0</v>
      </c>
      <c r="P292" s="44"/>
      <c r="Q292" s="44"/>
      <c r="R292" s="44"/>
      <c r="S292" s="44"/>
      <c r="T292" s="48">
        <f t="shared" si="109"/>
        <v>3716.3476000000001</v>
      </c>
      <c r="U292" s="48">
        <f t="shared" si="110"/>
        <v>3716.3476000000001</v>
      </c>
    </row>
    <row r="293" spans="1:21" x14ac:dyDescent="0.3">
      <c r="A293" s="22">
        <v>166</v>
      </c>
      <c r="B293" s="108" t="s">
        <v>203</v>
      </c>
      <c r="C293" s="109" t="s">
        <v>98</v>
      </c>
      <c r="D293" s="43">
        <v>15</v>
      </c>
      <c r="E293" s="52">
        <v>271.86</v>
      </c>
      <c r="F293" s="52">
        <f t="shared" si="106"/>
        <v>4077.9</v>
      </c>
      <c r="G293" s="52"/>
      <c r="H293" s="44"/>
      <c r="I293" s="52">
        <f>VLOOKUP($F$291,Tabisr,1)</f>
        <v>3651.01</v>
      </c>
      <c r="J293" s="48">
        <f t="shared" si="107"/>
        <v>426.88999999999987</v>
      </c>
      <c r="K293" s="53">
        <f>VLOOKUP($F$291,Tabisr,4)</f>
        <v>0.16</v>
      </c>
      <c r="L293" s="52">
        <f>(F293-3651.01)*16%</f>
        <v>68.302399999999977</v>
      </c>
      <c r="M293" s="52">
        <v>293.25</v>
      </c>
      <c r="N293" s="52">
        <f t="shared" si="108"/>
        <v>361.55239999999998</v>
      </c>
      <c r="O293" s="52">
        <f>VLOOKUP($F$291,Tabsub,3)</f>
        <v>0</v>
      </c>
      <c r="P293" s="52"/>
      <c r="Q293" s="52"/>
      <c r="R293" s="52"/>
      <c r="S293" s="52"/>
      <c r="T293" s="48">
        <f t="shared" si="109"/>
        <v>3716.3476000000001</v>
      </c>
      <c r="U293" s="48">
        <f t="shared" si="110"/>
        <v>3716.3476000000001</v>
      </c>
    </row>
    <row r="294" spans="1:21" x14ac:dyDescent="0.3">
      <c r="A294" s="23">
        <v>167</v>
      </c>
      <c r="B294" s="108" t="s">
        <v>77</v>
      </c>
      <c r="C294" s="109" t="s">
        <v>98</v>
      </c>
      <c r="D294" s="43">
        <v>15</v>
      </c>
      <c r="E294" s="44">
        <v>271.86</v>
      </c>
      <c r="F294" s="44">
        <f t="shared" si="106"/>
        <v>4077.9</v>
      </c>
      <c r="G294" s="84"/>
      <c r="H294" s="84"/>
      <c r="I294" s="44">
        <f>VLOOKUP($F$291,Tabisr,1)</f>
        <v>3651.01</v>
      </c>
      <c r="J294" s="46">
        <f t="shared" si="107"/>
        <v>426.88999999999987</v>
      </c>
      <c r="K294" s="47">
        <f>VLOOKUP($F$291,Tabisr,4)</f>
        <v>0.16</v>
      </c>
      <c r="L294" s="44">
        <f>(F294-3651.01)*16%</f>
        <v>68.302399999999977</v>
      </c>
      <c r="M294" s="52">
        <v>293.25</v>
      </c>
      <c r="N294" s="44">
        <f t="shared" si="108"/>
        <v>361.55239999999998</v>
      </c>
      <c r="O294" s="44">
        <f>VLOOKUP($F$291,Tabsub,3)</f>
        <v>0</v>
      </c>
      <c r="P294" s="84"/>
      <c r="Q294" s="84"/>
      <c r="R294" s="84"/>
      <c r="S294" s="40"/>
      <c r="T294" s="48">
        <f t="shared" si="109"/>
        <v>3716.3476000000001</v>
      </c>
      <c r="U294" s="46">
        <f t="shared" si="110"/>
        <v>3716.3476000000001</v>
      </c>
    </row>
    <row r="295" spans="1:21" x14ac:dyDescent="0.3">
      <c r="A295" s="31"/>
      <c r="B295" s="110"/>
      <c r="C295" s="19"/>
      <c r="D295" s="49"/>
      <c r="E295" s="50"/>
      <c r="F295" s="56">
        <f>+SUM(F289:F294)</f>
        <v>30309.450000000004</v>
      </c>
      <c r="G295" s="56">
        <f>+SUM(G289:G294)</f>
        <v>0</v>
      </c>
      <c r="H295" s="56">
        <f t="shared" ref="H295:U295" si="111">+SUM(H289:H294)</f>
        <v>0</v>
      </c>
      <c r="I295" s="56">
        <f t="shared" si="111"/>
        <v>23336.060000000005</v>
      </c>
      <c r="J295" s="56">
        <f t="shared" si="111"/>
        <v>6973.3899999999976</v>
      </c>
      <c r="K295" s="56">
        <f t="shared" si="111"/>
        <v>1.0136000000000001</v>
      </c>
      <c r="L295" s="56">
        <f t="shared" si="111"/>
        <v>1375.1095840000003</v>
      </c>
      <c r="M295" s="56">
        <f t="shared" si="111"/>
        <v>2004.45</v>
      </c>
      <c r="N295" s="56">
        <f t="shared" si="111"/>
        <v>3379.5595840000001</v>
      </c>
      <c r="O295" s="56">
        <f t="shared" si="111"/>
        <v>0</v>
      </c>
      <c r="P295" s="56">
        <f t="shared" si="111"/>
        <v>0</v>
      </c>
      <c r="Q295" s="56">
        <f t="shared" si="111"/>
        <v>0</v>
      </c>
      <c r="R295" s="56">
        <f t="shared" si="111"/>
        <v>0</v>
      </c>
      <c r="S295" s="56">
        <f t="shared" si="111"/>
        <v>0</v>
      </c>
      <c r="T295" s="56">
        <f t="shared" si="111"/>
        <v>26929.890416000006</v>
      </c>
      <c r="U295" s="56">
        <f t="shared" si="111"/>
        <v>26929.890416000006</v>
      </c>
    </row>
    <row r="296" spans="1:21" x14ac:dyDescent="0.3">
      <c r="A296" s="31"/>
      <c r="B296" s="110"/>
      <c r="C296" s="19"/>
      <c r="D296" s="49"/>
      <c r="E296" s="50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</row>
    <row r="297" spans="1:21" x14ac:dyDescent="0.3">
      <c r="A297" s="31"/>
      <c r="B297" s="110"/>
      <c r="C297" s="19"/>
      <c r="D297" s="49"/>
      <c r="E297" s="50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1"/>
      <c r="U297" s="51"/>
    </row>
    <row r="298" spans="1:21" ht="18" x14ac:dyDescent="0.3">
      <c r="A298" s="173" t="s">
        <v>242</v>
      </c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</row>
    <row r="299" spans="1:21" s="10" customFormat="1" ht="37.5" customHeight="1" x14ac:dyDescent="0.3">
      <c r="A299" s="21" t="s">
        <v>69</v>
      </c>
      <c r="B299" s="21" t="s">
        <v>17</v>
      </c>
      <c r="C299" s="21" t="s">
        <v>84</v>
      </c>
      <c r="D299" s="21" t="s">
        <v>27</v>
      </c>
      <c r="E299" s="21" t="s">
        <v>19</v>
      </c>
      <c r="F299" s="21" t="s">
        <v>18</v>
      </c>
      <c r="G299" s="21" t="s">
        <v>66</v>
      </c>
      <c r="H299" s="21" t="s">
        <v>74</v>
      </c>
      <c r="I299" s="37" t="s">
        <v>188</v>
      </c>
      <c r="J299" s="37" t="s">
        <v>189</v>
      </c>
      <c r="K299" s="37" t="s">
        <v>190</v>
      </c>
      <c r="L299" s="37" t="s">
        <v>191</v>
      </c>
      <c r="M299" s="21" t="s">
        <v>192</v>
      </c>
      <c r="N299" s="21" t="s">
        <v>67</v>
      </c>
      <c r="O299" s="21" t="s">
        <v>68</v>
      </c>
      <c r="P299" s="21" t="s">
        <v>20</v>
      </c>
      <c r="Q299" s="21" t="s">
        <v>299</v>
      </c>
      <c r="R299" s="21" t="s">
        <v>72</v>
      </c>
      <c r="S299" s="21" t="s">
        <v>82</v>
      </c>
      <c r="T299" s="21" t="s">
        <v>80</v>
      </c>
      <c r="U299" s="21" t="s">
        <v>81</v>
      </c>
    </row>
    <row r="300" spans="1:21" s="12" customFormat="1" x14ac:dyDescent="0.3">
      <c r="A300" s="22">
        <v>168</v>
      </c>
      <c r="B300" s="14" t="s">
        <v>236</v>
      </c>
      <c r="C300" s="14" t="s">
        <v>235</v>
      </c>
      <c r="D300" s="43">
        <v>15</v>
      </c>
      <c r="E300" s="52">
        <v>414.83</v>
      </c>
      <c r="F300" s="52">
        <f>D300*E300</f>
        <v>6222.45</v>
      </c>
      <c r="G300" s="52"/>
      <c r="H300" s="22"/>
      <c r="I300" s="52">
        <f>VLOOKUP($F$209,Tabisr,1)</f>
        <v>5081.01</v>
      </c>
      <c r="J300" s="48">
        <f>+F300-I300</f>
        <v>1141.4399999999996</v>
      </c>
      <c r="K300" s="53">
        <f>VLOOKUP($F$209,Tabisr,4)</f>
        <v>0.21360000000000001</v>
      </c>
      <c r="L300" s="52">
        <f>+J300*K300</f>
        <v>243.81158399999993</v>
      </c>
      <c r="M300" s="52">
        <f>VLOOKUP($F$209,Tabisr,3)</f>
        <v>538.20000000000005</v>
      </c>
      <c r="N300" s="40">
        <f>+L300+M300</f>
        <v>782.01158399999997</v>
      </c>
      <c r="O300" s="52"/>
      <c r="P300" s="52"/>
      <c r="Q300" s="52"/>
      <c r="R300" s="52"/>
      <c r="S300" s="52"/>
      <c r="T300" s="48">
        <f t="shared" ref="T300:T317" si="112">F300+G300+H300-N300+O300-P300-Q300-R300-S300</f>
        <v>5440.438416</v>
      </c>
      <c r="U300" s="48">
        <f t="shared" ref="U300:U317" si="113">T300-G300</f>
        <v>5440.438416</v>
      </c>
    </row>
    <row r="301" spans="1:21" s="12" customFormat="1" x14ac:dyDescent="0.3">
      <c r="A301" s="22">
        <v>169</v>
      </c>
      <c r="B301" s="14" t="s">
        <v>272</v>
      </c>
      <c r="C301" s="15" t="s">
        <v>86</v>
      </c>
      <c r="D301" s="43">
        <v>15</v>
      </c>
      <c r="E301" s="52">
        <v>263.56</v>
      </c>
      <c r="F301" s="52">
        <f>D301*E301</f>
        <v>3953.4</v>
      </c>
      <c r="G301" s="40"/>
      <c r="H301" s="40"/>
      <c r="I301" s="52">
        <f>VLOOKUP($F$62,Tabisr,1)</f>
        <v>3651.01</v>
      </c>
      <c r="J301" s="48">
        <f>+F301-I301</f>
        <v>302.38999999999987</v>
      </c>
      <c r="K301" s="53">
        <f>VLOOKUP($F$62,Tabisr,4)</f>
        <v>0.16</v>
      </c>
      <c r="L301" s="52">
        <f>(F301-3651.01)*16%</f>
        <v>48.382399999999983</v>
      </c>
      <c r="M301" s="52">
        <v>293.25</v>
      </c>
      <c r="N301" s="52">
        <f>M301+L301</f>
        <v>341.63239999999996</v>
      </c>
      <c r="O301" s="52"/>
      <c r="P301" s="40"/>
      <c r="Q301" s="40"/>
      <c r="R301" s="40"/>
      <c r="S301" s="40"/>
      <c r="T301" s="48">
        <f t="shared" si="112"/>
        <v>3611.7676000000001</v>
      </c>
      <c r="U301" s="48">
        <f t="shared" si="113"/>
        <v>3611.7676000000001</v>
      </c>
    </row>
    <row r="302" spans="1:21" s="12" customFormat="1" x14ac:dyDescent="0.3">
      <c r="A302" s="22">
        <v>170</v>
      </c>
      <c r="B302" s="14" t="s">
        <v>9</v>
      </c>
      <c r="C302" s="15" t="s">
        <v>89</v>
      </c>
      <c r="D302" s="43">
        <v>15</v>
      </c>
      <c r="E302" s="52">
        <v>218.17</v>
      </c>
      <c r="F302" s="52">
        <f>D302*E302</f>
        <v>3272.5499999999997</v>
      </c>
      <c r="G302" s="52"/>
      <c r="H302" s="52"/>
      <c r="I302" s="52">
        <f>VLOOKUP($F$302,Tabisr,1)</f>
        <v>2077.5100000000002</v>
      </c>
      <c r="J302" s="48">
        <f>+F302-I302</f>
        <v>1195.0399999999995</v>
      </c>
      <c r="K302" s="53">
        <f>VLOOKUP($F$302,Tabisr,4)</f>
        <v>0.10879999999999999</v>
      </c>
      <c r="L302" s="52">
        <f>(F302-2077.51)*10.88%</f>
        <v>130.02035199999995</v>
      </c>
      <c r="M302" s="52">
        <v>121.95</v>
      </c>
      <c r="N302" s="52">
        <f>L302+M302</f>
        <v>251.97035199999993</v>
      </c>
      <c r="O302" s="52"/>
      <c r="P302" s="52"/>
      <c r="Q302" s="52"/>
      <c r="R302" s="52"/>
      <c r="S302" s="52"/>
      <c r="T302" s="48">
        <f t="shared" si="112"/>
        <v>3020.5796479999999</v>
      </c>
      <c r="U302" s="48">
        <f t="shared" si="113"/>
        <v>3020.5796479999999</v>
      </c>
    </row>
    <row r="303" spans="1:21" s="10" customFormat="1" x14ac:dyDescent="0.3">
      <c r="A303" s="22">
        <v>171</v>
      </c>
      <c r="B303" s="14" t="s">
        <v>34</v>
      </c>
      <c r="C303" s="15" t="s">
        <v>111</v>
      </c>
      <c r="D303" s="43">
        <v>15</v>
      </c>
      <c r="E303" s="52">
        <v>271.86</v>
      </c>
      <c r="F303" s="52">
        <f t="shared" ref="F303:F315" si="114">D303*E303</f>
        <v>4077.9</v>
      </c>
      <c r="G303" s="52"/>
      <c r="H303" s="52"/>
      <c r="I303" s="52">
        <f>VLOOKUP($F$303,Tabisr,1)</f>
        <v>3651.01</v>
      </c>
      <c r="J303" s="48">
        <f t="shared" ref="J303:J315" si="115">+F303-I303</f>
        <v>426.88999999999987</v>
      </c>
      <c r="K303" s="53">
        <f>VLOOKUP($F$303,Tabisr,4)</f>
        <v>0.16</v>
      </c>
      <c r="L303" s="52">
        <f>(F303-3651.01)*16%</f>
        <v>68.302399999999977</v>
      </c>
      <c r="M303" s="52">
        <v>293.25</v>
      </c>
      <c r="N303" s="52">
        <f t="shared" ref="N303:N316" si="116">L303+M303</f>
        <v>361.55239999999998</v>
      </c>
      <c r="O303" s="52"/>
      <c r="P303" s="52"/>
      <c r="Q303" s="52"/>
      <c r="R303" s="52"/>
      <c r="S303" s="52"/>
      <c r="T303" s="48">
        <f t="shared" si="112"/>
        <v>3716.3476000000001</v>
      </c>
      <c r="U303" s="48">
        <f t="shared" si="113"/>
        <v>3716.3476000000001</v>
      </c>
    </row>
    <row r="304" spans="1:21" x14ac:dyDescent="0.3">
      <c r="A304" s="22">
        <v>172</v>
      </c>
      <c r="B304" s="14" t="s">
        <v>336</v>
      </c>
      <c r="C304" s="15" t="s">
        <v>111</v>
      </c>
      <c r="D304" s="43">
        <v>15</v>
      </c>
      <c r="E304" s="52">
        <v>271.86</v>
      </c>
      <c r="F304" s="52">
        <f>D304*E304</f>
        <v>4077.9</v>
      </c>
      <c r="G304" s="52"/>
      <c r="H304" s="52"/>
      <c r="I304" s="52">
        <f>VLOOKUP($F$303,Tabisr,1)</f>
        <v>3651.01</v>
      </c>
      <c r="J304" s="48">
        <f>+F304-I304</f>
        <v>426.88999999999987</v>
      </c>
      <c r="K304" s="53">
        <f>VLOOKUP($F$303,Tabisr,4)</f>
        <v>0.16</v>
      </c>
      <c r="L304" s="52">
        <f>(F304-3651.01)*16%</f>
        <v>68.302399999999977</v>
      </c>
      <c r="M304" s="52">
        <v>293.25</v>
      </c>
      <c r="N304" s="52">
        <f>L304+M304</f>
        <v>361.55239999999998</v>
      </c>
      <c r="O304" s="52"/>
      <c r="P304" s="52"/>
      <c r="Q304" s="52"/>
      <c r="R304" s="52"/>
      <c r="S304" s="52"/>
      <c r="T304" s="48">
        <f t="shared" si="112"/>
        <v>3716.3476000000001</v>
      </c>
      <c r="U304" s="48">
        <f t="shared" si="113"/>
        <v>3716.3476000000001</v>
      </c>
    </row>
    <row r="305" spans="1:21" x14ac:dyDescent="0.3">
      <c r="A305" s="22">
        <v>173</v>
      </c>
      <c r="B305" s="14" t="s">
        <v>337</v>
      </c>
      <c r="C305" s="15" t="s">
        <v>111</v>
      </c>
      <c r="D305" s="43">
        <v>15</v>
      </c>
      <c r="E305" s="52">
        <v>271.86</v>
      </c>
      <c r="F305" s="52">
        <f>D305*E305</f>
        <v>4077.9</v>
      </c>
      <c r="G305" s="52"/>
      <c r="H305" s="52"/>
      <c r="I305" s="52">
        <f>VLOOKUP($F$303,Tabisr,1)</f>
        <v>3651.01</v>
      </c>
      <c r="J305" s="48">
        <f>+F305-I305</f>
        <v>426.88999999999987</v>
      </c>
      <c r="K305" s="53">
        <f>VLOOKUP($F$303,Tabisr,4)</f>
        <v>0.16</v>
      </c>
      <c r="L305" s="52">
        <f>(F305-3651.01)*16%</f>
        <v>68.302399999999977</v>
      </c>
      <c r="M305" s="52">
        <v>293.25</v>
      </c>
      <c r="N305" s="52">
        <f>L305+M305</f>
        <v>361.55239999999998</v>
      </c>
      <c r="O305" s="52"/>
      <c r="P305" s="52"/>
      <c r="Q305" s="52"/>
      <c r="R305" s="52"/>
      <c r="S305" s="52"/>
      <c r="T305" s="48">
        <f t="shared" si="112"/>
        <v>3716.3476000000001</v>
      </c>
      <c r="U305" s="48">
        <f t="shared" si="113"/>
        <v>3716.3476000000001</v>
      </c>
    </row>
    <row r="306" spans="1:21" ht="23.25" customHeight="1" x14ac:dyDescent="0.3">
      <c r="A306" s="22">
        <v>174</v>
      </c>
      <c r="B306" s="14" t="s">
        <v>140</v>
      </c>
      <c r="C306" s="14" t="s">
        <v>151</v>
      </c>
      <c r="D306" s="43">
        <v>15</v>
      </c>
      <c r="E306" s="52">
        <v>312.26</v>
      </c>
      <c r="F306" s="52">
        <f t="shared" si="114"/>
        <v>4683.8999999999996</v>
      </c>
      <c r="G306" s="52"/>
      <c r="H306" s="22"/>
      <c r="I306" s="52">
        <f>VLOOKUP($F$306,Tabisr,1)</f>
        <v>4244.01</v>
      </c>
      <c r="J306" s="48">
        <f t="shared" si="115"/>
        <v>439.88999999999942</v>
      </c>
      <c r="K306" s="53">
        <f>VLOOKUP($F$306,Tabisr,4)</f>
        <v>0.1792</v>
      </c>
      <c r="L306" s="52">
        <f>(F306-4244.01)*17.92%</f>
        <v>78.828287999999901</v>
      </c>
      <c r="M306" s="52">
        <v>388.05</v>
      </c>
      <c r="N306" s="52">
        <f t="shared" si="116"/>
        <v>466.87828799999988</v>
      </c>
      <c r="O306" s="52"/>
      <c r="P306" s="52"/>
      <c r="Q306" s="52"/>
      <c r="R306" s="52"/>
      <c r="S306" s="52"/>
      <c r="T306" s="48">
        <f t="shared" si="112"/>
        <v>4217.0217119999998</v>
      </c>
      <c r="U306" s="48">
        <f t="shared" si="113"/>
        <v>4217.0217119999998</v>
      </c>
    </row>
    <row r="307" spans="1:21" x14ac:dyDescent="0.3">
      <c r="A307" s="22">
        <v>175</v>
      </c>
      <c r="B307" s="14" t="s">
        <v>281</v>
      </c>
      <c r="C307" s="14" t="s">
        <v>98</v>
      </c>
      <c r="D307" s="43">
        <v>15</v>
      </c>
      <c r="E307" s="52">
        <v>271.86</v>
      </c>
      <c r="F307" s="52">
        <f t="shared" si="114"/>
        <v>4077.9</v>
      </c>
      <c r="G307" s="40"/>
      <c r="H307" s="40"/>
      <c r="I307" s="52">
        <v>5087</v>
      </c>
      <c r="J307" s="48">
        <f t="shared" si="115"/>
        <v>-1009.0999999999999</v>
      </c>
      <c r="K307" s="53">
        <v>6.2135999999999996</v>
      </c>
      <c r="L307" s="52">
        <f>(F307-5081.01)*21.36%</f>
        <v>-214.264296</v>
      </c>
      <c r="M307" s="52">
        <v>544.20000000000005</v>
      </c>
      <c r="N307" s="52">
        <f t="shared" si="116"/>
        <v>329.93570400000004</v>
      </c>
      <c r="O307" s="52"/>
      <c r="P307" s="40"/>
      <c r="Q307" s="40"/>
      <c r="R307" s="40"/>
      <c r="S307" s="40"/>
      <c r="T307" s="48">
        <f t="shared" si="112"/>
        <v>3747.9642960000001</v>
      </c>
      <c r="U307" s="48">
        <f t="shared" si="113"/>
        <v>3747.9642960000001</v>
      </c>
    </row>
    <row r="308" spans="1:21" s="10" customFormat="1" x14ac:dyDescent="0.3">
      <c r="A308" s="22">
        <v>176</v>
      </c>
      <c r="B308" s="14" t="s">
        <v>52</v>
      </c>
      <c r="C308" s="14" t="s">
        <v>98</v>
      </c>
      <c r="D308" s="43">
        <v>15</v>
      </c>
      <c r="E308" s="52">
        <v>271.86</v>
      </c>
      <c r="F308" s="52">
        <f>D308*E308</f>
        <v>4077.9</v>
      </c>
      <c r="G308" s="52"/>
      <c r="H308" s="52"/>
      <c r="I308" s="52">
        <f>VLOOKUP($F$308,Tabisr,1)</f>
        <v>3651.01</v>
      </c>
      <c r="J308" s="48">
        <f>+F308-I308</f>
        <v>426.88999999999987</v>
      </c>
      <c r="K308" s="53">
        <f>VLOOKUP($F$308,Tabisr,4)</f>
        <v>0.16</v>
      </c>
      <c r="L308" s="52">
        <f>(F308-3651.01)*16%</f>
        <v>68.302399999999977</v>
      </c>
      <c r="M308" s="52">
        <v>293.25</v>
      </c>
      <c r="N308" s="52">
        <f>M308+L308</f>
        <v>361.55239999999998</v>
      </c>
      <c r="O308" s="52"/>
      <c r="P308" s="52"/>
      <c r="Q308" s="52"/>
      <c r="R308" s="52"/>
      <c r="S308" s="52"/>
      <c r="T308" s="48">
        <f t="shared" si="112"/>
        <v>3716.3476000000001</v>
      </c>
      <c r="U308" s="48">
        <f t="shared" si="113"/>
        <v>3716.3476000000001</v>
      </c>
    </row>
    <row r="309" spans="1:21" s="10" customFormat="1" x14ac:dyDescent="0.3">
      <c r="A309" s="23">
        <v>177</v>
      </c>
      <c r="B309" s="14" t="s">
        <v>389</v>
      </c>
      <c r="C309" s="14" t="s">
        <v>98</v>
      </c>
      <c r="D309" s="43">
        <v>15</v>
      </c>
      <c r="E309" s="52">
        <v>271.86</v>
      </c>
      <c r="F309" s="52">
        <f>D309*E309</f>
        <v>4077.9</v>
      </c>
      <c r="G309" s="52"/>
      <c r="H309" s="52"/>
      <c r="I309" s="52">
        <f>VLOOKUP($F$309,Tabisr,1)</f>
        <v>3651.01</v>
      </c>
      <c r="J309" s="48">
        <f>+F309-I309</f>
        <v>426.88999999999987</v>
      </c>
      <c r="K309" s="53">
        <f>VLOOKUP($F$309,Tabisr,4)</f>
        <v>0.16</v>
      </c>
      <c r="L309" s="44">
        <f>(F309-3651.01)*16%</f>
        <v>68.302399999999977</v>
      </c>
      <c r="M309" s="44">
        <v>293.25</v>
      </c>
      <c r="N309" s="44">
        <f>M309+L309</f>
        <v>361.55239999999998</v>
      </c>
      <c r="O309" s="52"/>
      <c r="P309" s="52"/>
      <c r="Q309" s="52"/>
      <c r="R309" s="52"/>
      <c r="S309" s="52"/>
      <c r="T309" s="48">
        <f t="shared" si="112"/>
        <v>3716.3476000000001</v>
      </c>
      <c r="U309" s="46">
        <f t="shared" si="113"/>
        <v>3716.3476000000001</v>
      </c>
    </row>
    <row r="310" spans="1:21" s="10" customFormat="1" x14ac:dyDescent="0.3">
      <c r="A310" s="22">
        <v>178</v>
      </c>
      <c r="B310" s="108" t="s">
        <v>35</v>
      </c>
      <c r="C310" s="109" t="s">
        <v>112</v>
      </c>
      <c r="D310" s="43">
        <v>15</v>
      </c>
      <c r="E310" s="44">
        <v>290.66000000000003</v>
      </c>
      <c r="F310" s="44">
        <f t="shared" si="114"/>
        <v>4359.9000000000005</v>
      </c>
      <c r="G310" s="44"/>
      <c r="H310" s="44"/>
      <c r="I310" s="44">
        <f>VLOOKUP($F$310,Tabisr,1)</f>
        <v>4244.01</v>
      </c>
      <c r="J310" s="46">
        <f t="shared" si="115"/>
        <v>115.89000000000033</v>
      </c>
      <c r="K310" s="47">
        <f>VLOOKUP($F$310,Tabisr,4)</f>
        <v>0.1792</v>
      </c>
      <c r="L310" s="44">
        <f t="shared" ref="L310:L315" si="117">(F310-3651.01)*16%</f>
        <v>113.42240000000005</v>
      </c>
      <c r="M310" s="52">
        <v>293.25</v>
      </c>
      <c r="N310" s="44">
        <f t="shared" si="116"/>
        <v>406.67240000000004</v>
      </c>
      <c r="O310" s="44"/>
      <c r="P310" s="44"/>
      <c r="Q310" s="44"/>
      <c r="R310" s="44"/>
      <c r="S310" s="44"/>
      <c r="T310" s="48">
        <f t="shared" si="112"/>
        <v>3953.2276000000006</v>
      </c>
      <c r="U310" s="48">
        <f t="shared" si="113"/>
        <v>3953.2276000000006</v>
      </c>
    </row>
    <row r="311" spans="1:21" s="10" customFormat="1" x14ac:dyDescent="0.3">
      <c r="A311" s="23">
        <v>179</v>
      </c>
      <c r="B311" s="108" t="s">
        <v>36</v>
      </c>
      <c r="C311" s="109" t="s">
        <v>112</v>
      </c>
      <c r="D311" s="43">
        <v>15</v>
      </c>
      <c r="E311" s="44">
        <v>290.66000000000003</v>
      </c>
      <c r="F311" s="44">
        <f t="shared" si="114"/>
        <v>4359.9000000000005</v>
      </c>
      <c r="G311" s="44"/>
      <c r="H311" s="44"/>
      <c r="I311" s="44">
        <f>VLOOKUP($F$311,Tabisr,1)</f>
        <v>4244.01</v>
      </c>
      <c r="J311" s="46">
        <f t="shared" si="115"/>
        <v>115.89000000000033</v>
      </c>
      <c r="K311" s="47">
        <f>VLOOKUP($F$311,Tabisr,4)</f>
        <v>0.1792</v>
      </c>
      <c r="L311" s="44">
        <f t="shared" si="117"/>
        <v>113.42240000000005</v>
      </c>
      <c r="M311" s="52">
        <v>293.25</v>
      </c>
      <c r="N311" s="44">
        <f t="shared" si="116"/>
        <v>406.67240000000004</v>
      </c>
      <c r="O311" s="44"/>
      <c r="P311" s="44"/>
      <c r="Q311" s="44"/>
      <c r="R311" s="44"/>
      <c r="S311" s="44"/>
      <c r="T311" s="48">
        <f t="shared" si="112"/>
        <v>3953.2276000000006</v>
      </c>
      <c r="U311" s="48">
        <f t="shared" si="113"/>
        <v>3953.2276000000006</v>
      </c>
    </row>
    <row r="312" spans="1:21" s="10" customFormat="1" x14ac:dyDescent="0.3">
      <c r="A312" s="22">
        <v>180</v>
      </c>
      <c r="B312" s="108" t="s">
        <v>37</v>
      </c>
      <c r="C312" s="109" t="s">
        <v>112</v>
      </c>
      <c r="D312" s="43">
        <v>15</v>
      </c>
      <c r="E312" s="44">
        <v>290.66000000000003</v>
      </c>
      <c r="F312" s="44">
        <f t="shared" si="114"/>
        <v>4359.9000000000005</v>
      </c>
      <c r="G312" s="44"/>
      <c r="H312" s="44"/>
      <c r="I312" s="44">
        <f>VLOOKUP($F$312,Tabisr,1)</f>
        <v>4244.01</v>
      </c>
      <c r="J312" s="46">
        <f t="shared" si="115"/>
        <v>115.89000000000033</v>
      </c>
      <c r="K312" s="47">
        <f>VLOOKUP($F$312,Tabisr,4)</f>
        <v>0.1792</v>
      </c>
      <c r="L312" s="44">
        <f t="shared" si="117"/>
        <v>113.42240000000005</v>
      </c>
      <c r="M312" s="52">
        <v>293.25</v>
      </c>
      <c r="N312" s="44">
        <f t="shared" si="116"/>
        <v>406.67240000000004</v>
      </c>
      <c r="O312" s="44"/>
      <c r="P312" s="44"/>
      <c r="Q312" s="44"/>
      <c r="R312" s="44"/>
      <c r="S312" s="44"/>
      <c r="T312" s="48">
        <f t="shared" si="112"/>
        <v>3953.2276000000006</v>
      </c>
      <c r="U312" s="48">
        <f t="shared" si="113"/>
        <v>3953.2276000000006</v>
      </c>
    </row>
    <row r="313" spans="1:21" x14ac:dyDescent="0.3">
      <c r="A313" s="23">
        <v>181</v>
      </c>
      <c r="B313" s="14" t="s">
        <v>12</v>
      </c>
      <c r="C313" s="109" t="s">
        <v>112</v>
      </c>
      <c r="D313" s="43">
        <v>15</v>
      </c>
      <c r="E313" s="44">
        <v>290.66000000000003</v>
      </c>
      <c r="F313" s="44">
        <f t="shared" si="114"/>
        <v>4359.9000000000005</v>
      </c>
      <c r="G313" s="44"/>
      <c r="H313" s="44"/>
      <c r="I313" s="44">
        <f>VLOOKUP($F$313,Tabisr,1)</f>
        <v>4244.01</v>
      </c>
      <c r="J313" s="46">
        <f t="shared" si="115"/>
        <v>115.89000000000033</v>
      </c>
      <c r="K313" s="47">
        <f>VLOOKUP($F$313,Tabisr,4)</f>
        <v>0.1792</v>
      </c>
      <c r="L313" s="44">
        <f t="shared" si="117"/>
        <v>113.42240000000005</v>
      </c>
      <c r="M313" s="52">
        <v>293.25</v>
      </c>
      <c r="N313" s="44">
        <f t="shared" si="116"/>
        <v>406.67240000000004</v>
      </c>
      <c r="O313" s="44"/>
      <c r="P313" s="44"/>
      <c r="Q313" s="44"/>
      <c r="R313" s="44"/>
      <c r="S313" s="44"/>
      <c r="T313" s="48">
        <f t="shared" si="112"/>
        <v>3953.2276000000006</v>
      </c>
      <c r="U313" s="48">
        <f t="shared" si="113"/>
        <v>3953.2276000000006</v>
      </c>
    </row>
    <row r="314" spans="1:21" x14ac:dyDescent="0.3">
      <c r="A314" s="22">
        <v>182</v>
      </c>
      <c r="B314" s="108" t="s">
        <v>38</v>
      </c>
      <c r="C314" s="109" t="s">
        <v>112</v>
      </c>
      <c r="D314" s="43">
        <v>15</v>
      </c>
      <c r="E314" s="44">
        <v>290.66000000000003</v>
      </c>
      <c r="F314" s="44">
        <f t="shared" si="114"/>
        <v>4359.9000000000005</v>
      </c>
      <c r="G314" s="44"/>
      <c r="H314" s="44"/>
      <c r="I314" s="44">
        <f>VLOOKUP($F$314,Tabisr,1)</f>
        <v>4244.01</v>
      </c>
      <c r="J314" s="46">
        <f t="shared" si="115"/>
        <v>115.89000000000033</v>
      </c>
      <c r="K314" s="47">
        <f>VLOOKUP($F$314,Tabisr,4)</f>
        <v>0.1792</v>
      </c>
      <c r="L314" s="44">
        <f t="shared" si="117"/>
        <v>113.42240000000005</v>
      </c>
      <c r="M314" s="52">
        <v>293.25</v>
      </c>
      <c r="N314" s="44">
        <f t="shared" si="116"/>
        <v>406.67240000000004</v>
      </c>
      <c r="O314" s="44"/>
      <c r="P314" s="44"/>
      <c r="Q314" s="44"/>
      <c r="R314" s="44"/>
      <c r="S314" s="44"/>
      <c r="T314" s="48">
        <f t="shared" si="112"/>
        <v>3953.2276000000006</v>
      </c>
      <c r="U314" s="48">
        <f t="shared" si="113"/>
        <v>3953.2276000000006</v>
      </c>
    </row>
    <row r="315" spans="1:21" x14ac:dyDescent="0.3">
      <c r="A315" s="23">
        <v>183</v>
      </c>
      <c r="B315" s="14" t="s">
        <v>39</v>
      </c>
      <c r="C315" s="15" t="s">
        <v>112</v>
      </c>
      <c r="D315" s="43">
        <v>15</v>
      </c>
      <c r="E315" s="44">
        <v>290.66000000000003</v>
      </c>
      <c r="F315" s="52">
        <f t="shared" si="114"/>
        <v>4359.9000000000005</v>
      </c>
      <c r="G315" s="52"/>
      <c r="H315" s="52"/>
      <c r="I315" s="52">
        <f>VLOOKUP($F$315,Tabisr,1)</f>
        <v>4244.01</v>
      </c>
      <c r="J315" s="48">
        <f t="shared" si="115"/>
        <v>115.89000000000033</v>
      </c>
      <c r="K315" s="53">
        <f>VLOOKUP($F$315,Tabisr,4)</f>
        <v>0.1792</v>
      </c>
      <c r="L315" s="52">
        <f t="shared" si="117"/>
        <v>113.42240000000005</v>
      </c>
      <c r="M315" s="52">
        <v>293.25</v>
      </c>
      <c r="N315" s="52">
        <f t="shared" si="116"/>
        <v>406.67240000000004</v>
      </c>
      <c r="O315" s="52"/>
      <c r="P315" s="52"/>
      <c r="Q315" s="52"/>
      <c r="R315" s="52"/>
      <c r="S315" s="52"/>
      <c r="T315" s="48">
        <f t="shared" si="112"/>
        <v>3953.2276000000006</v>
      </c>
      <c r="U315" s="48">
        <f t="shared" si="113"/>
        <v>3953.2276000000006</v>
      </c>
    </row>
    <row r="316" spans="1:21" x14ac:dyDescent="0.3">
      <c r="A316" s="22">
        <v>184</v>
      </c>
      <c r="B316" s="14" t="s">
        <v>15</v>
      </c>
      <c r="C316" s="15" t="s">
        <v>87</v>
      </c>
      <c r="D316" s="43">
        <v>15</v>
      </c>
      <c r="E316" s="52">
        <v>390.42</v>
      </c>
      <c r="F316" s="52">
        <f>D316*E316</f>
        <v>5856.3</v>
      </c>
      <c r="G316" s="40"/>
      <c r="H316" s="40"/>
      <c r="I316" s="52">
        <v>5081.01</v>
      </c>
      <c r="J316" s="48">
        <f>+F316-I316</f>
        <v>775.29</v>
      </c>
      <c r="K316" s="53">
        <v>0.21360000000000001</v>
      </c>
      <c r="L316" s="52">
        <f>(F316-5081.01)*21.36%</f>
        <v>165.60194399999997</v>
      </c>
      <c r="M316" s="52">
        <v>538.20000000000005</v>
      </c>
      <c r="N316" s="52">
        <f t="shared" si="116"/>
        <v>703.80194400000005</v>
      </c>
      <c r="O316" s="52"/>
      <c r="P316" s="40"/>
      <c r="Q316" s="40"/>
      <c r="R316" s="40"/>
      <c r="S316" s="40"/>
      <c r="T316" s="48">
        <f t="shared" si="112"/>
        <v>5152.4980560000004</v>
      </c>
      <c r="U316" s="48">
        <f t="shared" si="113"/>
        <v>5152.4980560000004</v>
      </c>
    </row>
    <row r="317" spans="1:21" x14ac:dyDescent="0.3">
      <c r="A317" s="23">
        <v>185</v>
      </c>
      <c r="B317" s="108" t="s">
        <v>5</v>
      </c>
      <c r="C317" s="109" t="s">
        <v>88</v>
      </c>
      <c r="D317" s="43">
        <v>15</v>
      </c>
      <c r="E317" s="44">
        <v>312.26</v>
      </c>
      <c r="F317" s="44">
        <f>D317*E317</f>
        <v>4683.8999999999996</v>
      </c>
      <c r="G317" s="44"/>
      <c r="H317" s="23"/>
      <c r="I317" s="44">
        <f>VLOOKUP($F$306,Tabisr,1)</f>
        <v>4244.01</v>
      </c>
      <c r="J317" s="46">
        <f>+F317-I317</f>
        <v>439.88999999999942</v>
      </c>
      <c r="K317" s="47">
        <f>VLOOKUP($F$306,Tabisr,4)</f>
        <v>0.1792</v>
      </c>
      <c r="L317" s="44">
        <f>(F317-4244.01)*17.92%</f>
        <v>78.828287999999901</v>
      </c>
      <c r="M317" s="52">
        <v>388.05</v>
      </c>
      <c r="N317" s="44">
        <f>L317+M317</f>
        <v>466.87828799999988</v>
      </c>
      <c r="O317" s="44"/>
      <c r="P317" s="84"/>
      <c r="Q317" s="84"/>
      <c r="R317" s="84"/>
      <c r="S317" s="84"/>
      <c r="T317" s="48">
        <f t="shared" si="112"/>
        <v>4217.0217119999998</v>
      </c>
      <c r="U317" s="48">
        <f t="shared" si="113"/>
        <v>4217.0217119999998</v>
      </c>
    </row>
    <row r="318" spans="1:21" x14ac:dyDescent="0.3">
      <c r="A318" s="31"/>
      <c r="B318" s="118"/>
      <c r="C318" s="119"/>
      <c r="D318" s="34"/>
      <c r="E318" s="34"/>
      <c r="F318" s="83">
        <f>+SUM(F300:F317)</f>
        <v>79299.3</v>
      </c>
      <c r="G318" s="83">
        <f t="shared" ref="G318:U318" si="118">+SUM(G300:G317)</f>
        <v>0</v>
      </c>
      <c r="H318" s="83">
        <f t="shared" si="118"/>
        <v>0</v>
      </c>
      <c r="I318" s="83">
        <f t="shared" si="118"/>
        <v>73184.670000000013</v>
      </c>
      <c r="J318" s="83">
        <f t="shared" si="118"/>
        <v>6114.63</v>
      </c>
      <c r="K318" s="83">
        <f t="shared" si="118"/>
        <v>9.1431999999999984</v>
      </c>
      <c r="L318" s="83">
        <f t="shared" si="118"/>
        <v>1553.2549600000002</v>
      </c>
      <c r="M318" s="83">
        <f t="shared" si="118"/>
        <v>6037.6500000000005</v>
      </c>
      <c r="N318" s="83">
        <f t="shared" si="118"/>
        <v>7590.9049600000017</v>
      </c>
      <c r="O318" s="83">
        <f t="shared" si="118"/>
        <v>0</v>
      </c>
      <c r="P318" s="83">
        <f t="shared" si="118"/>
        <v>0</v>
      </c>
      <c r="Q318" s="83">
        <f t="shared" si="118"/>
        <v>0</v>
      </c>
      <c r="R318" s="83">
        <f t="shared" si="118"/>
        <v>0</v>
      </c>
      <c r="S318" s="83">
        <f t="shared" si="118"/>
        <v>0</v>
      </c>
      <c r="T318" s="83">
        <f t="shared" si="118"/>
        <v>71708.395039999989</v>
      </c>
      <c r="U318" s="83">
        <f t="shared" si="118"/>
        <v>71708.395039999989</v>
      </c>
    </row>
    <row r="319" spans="1:21" x14ac:dyDescent="0.3">
      <c r="A319" s="31"/>
      <c r="B319" s="118"/>
      <c r="C319" s="119"/>
      <c r="D319" s="34"/>
      <c r="E319" s="34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</row>
    <row r="320" spans="1:21" x14ac:dyDescent="0.3">
      <c r="A320" s="31"/>
      <c r="B320" s="118"/>
      <c r="C320" s="119"/>
      <c r="D320" s="34"/>
      <c r="E320" s="34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</row>
    <row r="321" spans="1:21" ht="18" x14ac:dyDescent="0.3">
      <c r="A321" s="173" t="s">
        <v>264</v>
      </c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</row>
    <row r="322" spans="1:21" ht="31.5" customHeight="1" x14ac:dyDescent="0.3">
      <c r="A322" s="21" t="s">
        <v>69</v>
      </c>
      <c r="B322" s="21" t="s">
        <v>17</v>
      </c>
      <c r="C322" s="21" t="s">
        <v>84</v>
      </c>
      <c r="D322" s="21" t="s">
        <v>27</v>
      </c>
      <c r="E322" s="21" t="s">
        <v>19</v>
      </c>
      <c r="F322" s="21" t="s">
        <v>18</v>
      </c>
      <c r="G322" s="21" t="s">
        <v>66</v>
      </c>
      <c r="H322" s="21" t="s">
        <v>74</v>
      </c>
      <c r="I322" s="37" t="s">
        <v>188</v>
      </c>
      <c r="J322" s="37" t="s">
        <v>189</v>
      </c>
      <c r="K322" s="37" t="s">
        <v>190</v>
      </c>
      <c r="L322" s="37" t="s">
        <v>191</v>
      </c>
      <c r="M322" s="21" t="s">
        <v>192</v>
      </c>
      <c r="N322" s="21" t="s">
        <v>67</v>
      </c>
      <c r="O322" s="21" t="s">
        <v>68</v>
      </c>
      <c r="P322" s="21" t="s">
        <v>20</v>
      </c>
      <c r="Q322" s="21" t="s">
        <v>299</v>
      </c>
      <c r="R322" s="21" t="s">
        <v>72</v>
      </c>
      <c r="S322" s="21" t="s">
        <v>82</v>
      </c>
      <c r="T322" s="21" t="s">
        <v>80</v>
      </c>
      <c r="U322" s="21" t="s">
        <v>81</v>
      </c>
    </row>
    <row r="323" spans="1:21" x14ac:dyDescent="0.3">
      <c r="A323" s="22">
        <v>186</v>
      </c>
      <c r="B323" s="14" t="s">
        <v>25</v>
      </c>
      <c r="C323" s="14" t="s">
        <v>149</v>
      </c>
      <c r="D323" s="43">
        <v>15</v>
      </c>
      <c r="E323" s="52">
        <v>312.26</v>
      </c>
      <c r="F323" s="52">
        <f>D323*E323</f>
        <v>4683.8999999999996</v>
      </c>
      <c r="G323" s="52"/>
      <c r="H323" s="52"/>
      <c r="I323" s="52" t="e">
        <f>VLOOKUP($F$284,Tabisr,1)</f>
        <v>#N/A</v>
      </c>
      <c r="J323" s="48" t="e">
        <f>+F323-I323</f>
        <v>#N/A</v>
      </c>
      <c r="K323" s="53" t="e">
        <f>VLOOKUP($F$284,Tabisr,4)</f>
        <v>#N/A</v>
      </c>
      <c r="L323" s="52">
        <f>(F323-4244.01)*17.92%</f>
        <v>78.828287999999901</v>
      </c>
      <c r="M323" s="52">
        <v>388.05</v>
      </c>
      <c r="N323" s="52">
        <f>L323+M323</f>
        <v>466.87828799999988</v>
      </c>
      <c r="O323" s="52"/>
      <c r="P323" s="52"/>
      <c r="Q323" s="52"/>
      <c r="R323" s="52"/>
      <c r="S323" s="52"/>
      <c r="T323" s="48">
        <f t="shared" ref="T323:T328" si="119">F323+G323+H323-N323+O323-P323-Q323-R323-S323</f>
        <v>4217.0217119999998</v>
      </c>
      <c r="U323" s="48">
        <f t="shared" ref="U323:U328" si="120">T323-G323</f>
        <v>4217.0217119999998</v>
      </c>
    </row>
    <row r="324" spans="1:21" x14ac:dyDescent="0.3">
      <c r="A324" s="32">
        <v>187</v>
      </c>
      <c r="B324" s="120" t="s">
        <v>295</v>
      </c>
      <c r="C324" s="121" t="s">
        <v>92</v>
      </c>
      <c r="D324" s="85"/>
      <c r="E324" s="88"/>
      <c r="F324" s="86"/>
      <c r="G324" s="86"/>
      <c r="H324" s="89"/>
      <c r="I324" s="90"/>
      <c r="J324" s="90"/>
      <c r="K324" s="90"/>
      <c r="L324" s="86">
        <f>(F324-3651.01)*16%</f>
        <v>-584.16160000000002</v>
      </c>
      <c r="M324" s="86">
        <v>293.25</v>
      </c>
      <c r="N324" s="86"/>
      <c r="O324" s="89"/>
      <c r="P324" s="89"/>
      <c r="Q324" s="89"/>
      <c r="R324" s="89"/>
      <c r="S324" s="89"/>
      <c r="T324" s="87">
        <f t="shared" si="119"/>
        <v>0</v>
      </c>
      <c r="U324" s="87">
        <f t="shared" si="120"/>
        <v>0</v>
      </c>
    </row>
    <row r="325" spans="1:21" x14ac:dyDescent="0.3">
      <c r="A325" s="22">
        <v>188</v>
      </c>
      <c r="B325" s="14" t="s">
        <v>76</v>
      </c>
      <c r="C325" s="15" t="s">
        <v>106</v>
      </c>
      <c r="D325" s="43">
        <v>15</v>
      </c>
      <c r="E325" s="67">
        <v>214.1</v>
      </c>
      <c r="F325" s="52">
        <f>D325*E325</f>
        <v>3211.5</v>
      </c>
      <c r="G325" s="52"/>
      <c r="H325" s="91"/>
      <c r="I325" s="91"/>
      <c r="J325" s="91"/>
      <c r="K325" s="91"/>
      <c r="L325" s="44">
        <f>(F325-2077.51)*10.88%</f>
        <v>123.37811199999999</v>
      </c>
      <c r="M325" s="52">
        <v>121.95</v>
      </c>
      <c r="N325" s="44">
        <f>L325+M325</f>
        <v>245.32811199999998</v>
      </c>
      <c r="O325" s="91"/>
      <c r="P325" s="91"/>
      <c r="Q325" s="22"/>
      <c r="R325" s="91"/>
      <c r="S325" s="91"/>
      <c r="T325" s="48">
        <f t="shared" si="119"/>
        <v>2966.1718879999999</v>
      </c>
      <c r="U325" s="46">
        <f t="shared" si="120"/>
        <v>2966.1718879999999</v>
      </c>
    </row>
    <row r="326" spans="1:21" x14ac:dyDescent="0.3">
      <c r="A326" s="22">
        <v>189</v>
      </c>
      <c r="B326" s="14" t="s">
        <v>309</v>
      </c>
      <c r="C326" s="15" t="s">
        <v>106</v>
      </c>
      <c r="D326" s="43">
        <v>15</v>
      </c>
      <c r="E326" s="67">
        <v>214.1</v>
      </c>
      <c r="F326" s="52">
        <f>D326*E326</f>
        <v>3211.5</v>
      </c>
      <c r="G326" s="52"/>
      <c r="H326" s="91"/>
      <c r="I326" s="91"/>
      <c r="J326" s="91"/>
      <c r="K326" s="91"/>
      <c r="L326" s="44">
        <f>(F326-2077.51)*10.88%</f>
        <v>123.37811199999999</v>
      </c>
      <c r="M326" s="52">
        <v>121.95</v>
      </c>
      <c r="N326" s="44">
        <f>L326+M326</f>
        <v>245.32811199999998</v>
      </c>
      <c r="O326" s="91"/>
      <c r="P326" s="22"/>
      <c r="Q326" s="22"/>
      <c r="R326" s="91"/>
      <c r="S326" s="91"/>
      <c r="T326" s="48">
        <f t="shared" si="119"/>
        <v>2966.1718879999999</v>
      </c>
      <c r="U326" s="46">
        <f t="shared" si="120"/>
        <v>2966.1718879999999</v>
      </c>
    </row>
    <row r="327" spans="1:21" s="18" customFormat="1" x14ac:dyDescent="0.3">
      <c r="A327" s="22">
        <v>190</v>
      </c>
      <c r="B327" s="14" t="s">
        <v>379</v>
      </c>
      <c r="C327" s="15" t="s">
        <v>106</v>
      </c>
      <c r="D327" s="43">
        <v>15</v>
      </c>
      <c r="E327" s="67">
        <v>214.1</v>
      </c>
      <c r="F327" s="52">
        <f>D327*E327</f>
        <v>3211.5</v>
      </c>
      <c r="G327" s="52"/>
      <c r="H327" s="22"/>
      <c r="I327" s="91"/>
      <c r="J327" s="91"/>
      <c r="K327" s="91"/>
      <c r="L327" s="52">
        <f>(F327-2077.51)*10.88%</f>
        <v>123.37811199999999</v>
      </c>
      <c r="M327" s="52">
        <v>121.95</v>
      </c>
      <c r="N327" s="52">
        <f>L327+M327</f>
        <v>245.32811199999998</v>
      </c>
      <c r="O327" s="91"/>
      <c r="P327" s="22"/>
      <c r="Q327" s="91"/>
      <c r="R327" s="91"/>
      <c r="S327" s="91"/>
      <c r="T327" s="48">
        <f t="shared" si="119"/>
        <v>2966.1718879999999</v>
      </c>
      <c r="U327" s="48">
        <f t="shared" si="120"/>
        <v>2966.1718879999999</v>
      </c>
    </row>
    <row r="328" spans="1:21" x14ac:dyDescent="0.2">
      <c r="A328" s="22">
        <v>191</v>
      </c>
      <c r="B328" s="123" t="s">
        <v>286</v>
      </c>
      <c r="C328" s="15" t="s">
        <v>400</v>
      </c>
      <c r="D328" s="43">
        <v>15</v>
      </c>
      <c r="E328" s="67">
        <v>414.83</v>
      </c>
      <c r="F328" s="52">
        <f>D328*E328</f>
        <v>6222.45</v>
      </c>
      <c r="G328" s="52"/>
      <c r="H328" s="22"/>
      <c r="I328" s="91"/>
      <c r="J328" s="91"/>
      <c r="K328" s="91"/>
      <c r="L328" s="52">
        <f>(F328-2077.51)*10.88%</f>
        <v>450.969472</v>
      </c>
      <c r="M328" s="52">
        <v>121.95</v>
      </c>
      <c r="N328" s="52">
        <f>L328+M328</f>
        <v>572.91947200000004</v>
      </c>
      <c r="O328" s="91"/>
      <c r="P328" s="22"/>
      <c r="Q328" s="91"/>
      <c r="R328" s="91"/>
      <c r="S328" s="91"/>
      <c r="T328" s="48">
        <f t="shared" si="119"/>
        <v>5649.5305279999993</v>
      </c>
      <c r="U328" s="48">
        <f t="shared" si="120"/>
        <v>5649.5305279999993</v>
      </c>
    </row>
    <row r="329" spans="1:21" x14ac:dyDescent="0.3">
      <c r="A329" s="31"/>
      <c r="B329" s="114"/>
      <c r="C329" s="115"/>
      <c r="D329" s="64"/>
      <c r="E329" s="64"/>
      <c r="F329" s="65">
        <f>+SUM(F323:F328)</f>
        <v>20540.849999999999</v>
      </c>
      <c r="G329" s="65">
        <f>+SUM(G323:G328)</f>
        <v>0</v>
      </c>
      <c r="H329" s="65">
        <f t="shared" ref="H329:U329" si="121">+SUM(H323:H328)</f>
        <v>0</v>
      </c>
      <c r="I329" s="65" t="e">
        <f t="shared" si="121"/>
        <v>#N/A</v>
      </c>
      <c r="J329" s="65" t="e">
        <f t="shared" si="121"/>
        <v>#N/A</v>
      </c>
      <c r="K329" s="65" t="e">
        <f t="shared" si="121"/>
        <v>#N/A</v>
      </c>
      <c r="L329" s="65">
        <f t="shared" si="121"/>
        <v>315.77049599999987</v>
      </c>
      <c r="M329" s="65">
        <f t="shared" si="121"/>
        <v>1169.1000000000001</v>
      </c>
      <c r="N329" s="65">
        <f t="shared" si="121"/>
        <v>1775.7820959999997</v>
      </c>
      <c r="O329" s="65">
        <f t="shared" si="121"/>
        <v>0</v>
      </c>
      <c r="P329" s="65">
        <f t="shared" si="121"/>
        <v>0</v>
      </c>
      <c r="Q329" s="65">
        <f t="shared" si="121"/>
        <v>0</v>
      </c>
      <c r="R329" s="65">
        <f t="shared" si="121"/>
        <v>0</v>
      </c>
      <c r="S329" s="65">
        <f t="shared" si="121"/>
        <v>0</v>
      </c>
      <c r="T329" s="65">
        <f t="shared" si="121"/>
        <v>18765.067904</v>
      </c>
      <c r="U329" s="65">
        <f t="shared" si="121"/>
        <v>18765.067904</v>
      </c>
    </row>
    <row r="330" spans="1:21" x14ac:dyDescent="0.3">
      <c r="A330" s="31"/>
      <c r="B330" s="114"/>
      <c r="C330" s="115"/>
      <c r="D330" s="64"/>
      <c r="E330" s="64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</row>
    <row r="331" spans="1:21" ht="18" x14ac:dyDescent="0.3">
      <c r="A331" s="173" t="s">
        <v>265</v>
      </c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</row>
    <row r="332" spans="1:21" ht="36" customHeight="1" x14ac:dyDescent="0.3">
      <c r="A332" s="21" t="s">
        <v>69</v>
      </c>
      <c r="B332" s="21" t="s">
        <v>17</v>
      </c>
      <c r="C332" s="21" t="s">
        <v>84</v>
      </c>
      <c r="D332" s="21" t="s">
        <v>27</v>
      </c>
      <c r="E332" s="21" t="s">
        <v>19</v>
      </c>
      <c r="F332" s="21" t="s">
        <v>18</v>
      </c>
      <c r="G332" s="21" t="s">
        <v>66</v>
      </c>
      <c r="H332" s="21" t="s">
        <v>74</v>
      </c>
      <c r="I332" s="37" t="s">
        <v>188</v>
      </c>
      <c r="J332" s="37" t="s">
        <v>189</v>
      </c>
      <c r="K332" s="37" t="s">
        <v>190</v>
      </c>
      <c r="L332" s="37" t="s">
        <v>191</v>
      </c>
      <c r="M332" s="21" t="s">
        <v>192</v>
      </c>
      <c r="N332" s="21" t="s">
        <v>67</v>
      </c>
      <c r="O332" s="21" t="s">
        <v>68</v>
      </c>
      <c r="P332" s="21" t="s">
        <v>20</v>
      </c>
      <c r="Q332" s="21" t="s">
        <v>299</v>
      </c>
      <c r="R332" s="21" t="s">
        <v>72</v>
      </c>
      <c r="S332" s="21" t="s">
        <v>82</v>
      </c>
      <c r="T332" s="21" t="s">
        <v>80</v>
      </c>
      <c r="U332" s="21" t="s">
        <v>81</v>
      </c>
    </row>
    <row r="333" spans="1:21" s="10" customFormat="1" x14ac:dyDescent="0.3">
      <c r="A333" s="22">
        <v>192</v>
      </c>
      <c r="B333" s="14" t="s">
        <v>288</v>
      </c>
      <c r="C333" s="14" t="s">
        <v>149</v>
      </c>
      <c r="D333" s="43">
        <v>15</v>
      </c>
      <c r="E333" s="67">
        <v>312.26</v>
      </c>
      <c r="F333" s="52">
        <f>D333*E333</f>
        <v>4683.8999999999996</v>
      </c>
      <c r="G333" s="52"/>
      <c r="H333" s="22"/>
      <c r="I333" s="52">
        <f>VLOOKUP($F$333,Tabisr,1)</f>
        <v>4244.01</v>
      </c>
      <c r="J333" s="48">
        <f>+F333-I333</f>
        <v>439.88999999999942</v>
      </c>
      <c r="K333" s="53">
        <f>VLOOKUP($F$333,Tabisr,4)</f>
        <v>0.1792</v>
      </c>
      <c r="L333" s="52">
        <f>(F333-4244.01)*17.92%</f>
        <v>78.828287999999901</v>
      </c>
      <c r="M333" s="52">
        <v>388.05</v>
      </c>
      <c r="N333" s="52">
        <f>L333+M333</f>
        <v>466.87828799999988</v>
      </c>
      <c r="O333" s="52">
        <f>VLOOKUP($F$333,Tabsub,3)</f>
        <v>0</v>
      </c>
      <c r="P333" s="52"/>
      <c r="Q333" s="52"/>
      <c r="R333" s="52"/>
      <c r="S333" s="52"/>
      <c r="T333" s="48">
        <f>F333+G333+H333-N333+O333-P333-Q333-R333-S333</f>
        <v>4217.0217119999998</v>
      </c>
      <c r="U333" s="48">
        <f>T333-G333</f>
        <v>4217.0217119999998</v>
      </c>
    </row>
    <row r="334" spans="1:21" s="12" customFormat="1" x14ac:dyDescent="0.3">
      <c r="A334" s="22">
        <v>193</v>
      </c>
      <c r="B334" s="14" t="s">
        <v>382</v>
      </c>
      <c r="C334" s="14" t="s">
        <v>106</v>
      </c>
      <c r="D334" s="43">
        <v>15</v>
      </c>
      <c r="E334" s="67">
        <v>214.1</v>
      </c>
      <c r="F334" s="52">
        <f>D334*E334</f>
        <v>3211.5</v>
      </c>
      <c r="G334" s="52"/>
      <c r="H334" s="91"/>
      <c r="I334" s="91"/>
      <c r="J334" s="91"/>
      <c r="K334" s="91"/>
      <c r="L334" s="52">
        <f>(F334-2077.51)*10.88%</f>
        <v>123.37811199999999</v>
      </c>
      <c r="M334" s="52">
        <v>121.95</v>
      </c>
      <c r="N334" s="52">
        <f>L334+M334</f>
        <v>245.32811199999998</v>
      </c>
      <c r="O334" s="91"/>
      <c r="P334" s="22"/>
      <c r="Q334" s="91"/>
      <c r="R334" s="91"/>
      <c r="S334" s="91"/>
      <c r="T334" s="48">
        <f>F334+G334+H334-N334+O334-P334-Q334-R334-S334</f>
        <v>2966.1718879999999</v>
      </c>
      <c r="U334" s="48">
        <f>T334-G334</f>
        <v>2966.1718879999999</v>
      </c>
    </row>
    <row r="335" spans="1:21" s="10" customFormat="1" x14ac:dyDescent="0.3">
      <c r="A335" s="22">
        <v>194</v>
      </c>
      <c r="B335" s="14" t="s">
        <v>331</v>
      </c>
      <c r="C335" s="14" t="s">
        <v>86</v>
      </c>
      <c r="D335" s="43">
        <v>15</v>
      </c>
      <c r="E335" s="67">
        <v>263.56</v>
      </c>
      <c r="F335" s="52">
        <f>D335*E335</f>
        <v>3953.4</v>
      </c>
      <c r="G335" s="52"/>
      <c r="H335" s="22"/>
      <c r="I335" s="52"/>
      <c r="J335" s="48"/>
      <c r="K335" s="53"/>
      <c r="L335" s="52">
        <f>(F335-3651.01)*16%</f>
        <v>48.382399999999983</v>
      </c>
      <c r="M335" s="52">
        <v>293.25</v>
      </c>
      <c r="N335" s="52">
        <f>L335+M335</f>
        <v>341.63239999999996</v>
      </c>
      <c r="O335" s="52"/>
      <c r="P335" s="52"/>
      <c r="Q335" s="52"/>
      <c r="R335" s="52"/>
      <c r="S335" s="52"/>
      <c r="T335" s="48">
        <f>F335+G335+H335-N335+O335-P335-Q335-R335-S335</f>
        <v>3611.7676000000001</v>
      </c>
      <c r="U335" s="48">
        <f>T335-G335</f>
        <v>3611.7676000000001</v>
      </c>
    </row>
    <row r="336" spans="1:21" s="10" customFormat="1" x14ac:dyDescent="0.3">
      <c r="A336" s="30"/>
      <c r="B336" s="110"/>
      <c r="C336" s="19"/>
      <c r="D336" s="49"/>
      <c r="E336" s="92"/>
      <c r="F336" s="56">
        <f>+SUM(F333:F335)</f>
        <v>11848.8</v>
      </c>
      <c r="G336" s="56">
        <f t="shared" ref="G336:U336" si="122">+SUM(G333:G335)</f>
        <v>0</v>
      </c>
      <c r="H336" s="56">
        <f t="shared" si="122"/>
        <v>0</v>
      </c>
      <c r="I336" s="56">
        <f t="shared" si="122"/>
        <v>4244.01</v>
      </c>
      <c r="J336" s="56">
        <f t="shared" si="122"/>
        <v>439.88999999999942</v>
      </c>
      <c r="K336" s="56">
        <f t="shared" si="122"/>
        <v>0.1792</v>
      </c>
      <c r="L336" s="56">
        <f t="shared" si="122"/>
        <v>250.58879999999988</v>
      </c>
      <c r="M336" s="56">
        <f t="shared" si="122"/>
        <v>803.25</v>
      </c>
      <c r="N336" s="56">
        <f t="shared" si="122"/>
        <v>1053.8387999999998</v>
      </c>
      <c r="O336" s="56">
        <f t="shared" si="122"/>
        <v>0</v>
      </c>
      <c r="P336" s="56">
        <f t="shared" si="122"/>
        <v>0</v>
      </c>
      <c r="Q336" s="56">
        <f t="shared" si="122"/>
        <v>0</v>
      </c>
      <c r="R336" s="56">
        <f t="shared" si="122"/>
        <v>0</v>
      </c>
      <c r="S336" s="56">
        <f t="shared" si="122"/>
        <v>0</v>
      </c>
      <c r="T336" s="56">
        <f t="shared" si="122"/>
        <v>10794.9612</v>
      </c>
      <c r="U336" s="56">
        <f t="shared" si="122"/>
        <v>10794.9612</v>
      </c>
    </row>
    <row r="337" spans="1:21" s="10" customFormat="1" x14ac:dyDescent="0.3">
      <c r="A337" s="30"/>
      <c r="B337" s="110"/>
      <c r="C337" s="19"/>
      <c r="D337" s="49"/>
      <c r="E337" s="92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1"/>
      <c r="U337" s="51"/>
    </row>
    <row r="338" spans="1:21" ht="18" x14ac:dyDescent="0.3">
      <c r="A338" s="173" t="s">
        <v>266</v>
      </c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</row>
    <row r="339" spans="1:21" ht="35.25" customHeight="1" x14ac:dyDescent="0.3">
      <c r="A339" s="21" t="s">
        <v>69</v>
      </c>
      <c r="B339" s="21" t="s">
        <v>17</v>
      </c>
      <c r="C339" s="21" t="s">
        <v>84</v>
      </c>
      <c r="D339" s="21" t="s">
        <v>27</v>
      </c>
      <c r="E339" s="21" t="s">
        <v>19</v>
      </c>
      <c r="F339" s="21" t="s">
        <v>18</v>
      </c>
      <c r="G339" s="21" t="s">
        <v>66</v>
      </c>
      <c r="H339" s="21" t="s">
        <v>74</v>
      </c>
      <c r="I339" s="37" t="s">
        <v>188</v>
      </c>
      <c r="J339" s="37" t="s">
        <v>189</v>
      </c>
      <c r="K339" s="37" t="s">
        <v>190</v>
      </c>
      <c r="L339" s="37" t="s">
        <v>191</v>
      </c>
      <c r="M339" s="21" t="s">
        <v>192</v>
      </c>
      <c r="N339" s="21" t="s">
        <v>67</v>
      </c>
      <c r="O339" s="21" t="s">
        <v>68</v>
      </c>
      <c r="P339" s="21" t="s">
        <v>20</v>
      </c>
      <c r="Q339" s="21" t="s">
        <v>299</v>
      </c>
      <c r="R339" s="21" t="s">
        <v>72</v>
      </c>
      <c r="S339" s="21" t="s">
        <v>82</v>
      </c>
      <c r="T339" s="21" t="s">
        <v>80</v>
      </c>
      <c r="U339" s="21" t="s">
        <v>81</v>
      </c>
    </row>
    <row r="340" spans="1:21" x14ac:dyDescent="0.3">
      <c r="A340" s="22">
        <v>195</v>
      </c>
      <c r="B340" s="14" t="s">
        <v>205</v>
      </c>
      <c r="C340" s="14" t="s">
        <v>149</v>
      </c>
      <c r="D340" s="43">
        <v>15</v>
      </c>
      <c r="E340" s="67">
        <v>312.26</v>
      </c>
      <c r="F340" s="52">
        <f>D340*E340</f>
        <v>4683.8999999999996</v>
      </c>
      <c r="G340" s="52"/>
      <c r="H340" s="22"/>
      <c r="I340" s="52">
        <f>VLOOKUP($F$340,Tabisr,1)</f>
        <v>4244.01</v>
      </c>
      <c r="J340" s="48">
        <f>+F340-I340</f>
        <v>439.88999999999942</v>
      </c>
      <c r="K340" s="53">
        <f>VLOOKUP($F$340,Tabisr,4)</f>
        <v>0.1792</v>
      </c>
      <c r="L340" s="52">
        <f>(F340-4244.01)*17.92%</f>
        <v>78.828287999999901</v>
      </c>
      <c r="M340" s="52">
        <v>388.05</v>
      </c>
      <c r="N340" s="52">
        <f>L340+M340</f>
        <v>466.87828799999988</v>
      </c>
      <c r="O340" s="52">
        <f>VLOOKUP($F$340,Tabsub,3)</f>
        <v>0</v>
      </c>
      <c r="P340" s="52"/>
      <c r="Q340" s="52"/>
      <c r="R340" s="52"/>
      <c r="S340" s="52"/>
      <c r="T340" s="48">
        <f>F340+G340+H340-N340+O340-P340-Q340-R340-S340</f>
        <v>4217.0217119999998</v>
      </c>
      <c r="U340" s="48">
        <f>T340-G340</f>
        <v>4217.0217119999998</v>
      </c>
    </row>
    <row r="341" spans="1:21" x14ac:dyDescent="0.3">
      <c r="A341" s="22">
        <v>196</v>
      </c>
      <c r="B341" s="14" t="s">
        <v>269</v>
      </c>
      <c r="C341" s="108" t="s">
        <v>86</v>
      </c>
      <c r="D341" s="43">
        <v>15</v>
      </c>
      <c r="E341" s="67">
        <v>263.56</v>
      </c>
      <c r="F341" s="52">
        <f>D341*E341</f>
        <v>3953.4</v>
      </c>
      <c r="G341" s="52"/>
      <c r="H341" s="93"/>
      <c r="I341" s="94"/>
      <c r="J341" s="94"/>
      <c r="K341" s="94"/>
      <c r="L341" s="44">
        <f>(F341-3651.01)*16%</f>
        <v>48.382399999999983</v>
      </c>
      <c r="M341" s="52">
        <v>293.25</v>
      </c>
      <c r="N341" s="44">
        <f>L341+M341</f>
        <v>341.63239999999996</v>
      </c>
      <c r="O341" s="93"/>
      <c r="P341" s="27"/>
      <c r="Q341" s="93"/>
      <c r="R341" s="93"/>
      <c r="S341" s="93"/>
      <c r="T341" s="48">
        <f>F341+G341+H341-N341+O341-P341-Q341-R341-S341</f>
        <v>3611.7676000000001</v>
      </c>
      <c r="U341" s="46">
        <f>T341-G341</f>
        <v>3611.7676000000001</v>
      </c>
    </row>
    <row r="342" spans="1:21" x14ac:dyDescent="0.3">
      <c r="A342" s="22">
        <v>197</v>
      </c>
      <c r="B342" s="14" t="s">
        <v>338</v>
      </c>
      <c r="C342" s="124" t="s">
        <v>335</v>
      </c>
      <c r="D342" s="43">
        <v>15</v>
      </c>
      <c r="E342" s="67">
        <v>214.1</v>
      </c>
      <c r="F342" s="52">
        <f>D342*E342</f>
        <v>3211.5</v>
      </c>
      <c r="G342" s="52"/>
      <c r="H342" s="22"/>
      <c r="I342" s="52" t="e">
        <f>VLOOKUP(#REF!,Tabisr,1)</f>
        <v>#REF!</v>
      </c>
      <c r="J342" s="48" t="e">
        <f>+F342-I342</f>
        <v>#REF!</v>
      </c>
      <c r="K342" s="53" t="e">
        <f>VLOOKUP(#REF!,Tabisr,4)</f>
        <v>#REF!</v>
      </c>
      <c r="L342" s="52">
        <f>(F342-2077.51)*10.88%</f>
        <v>123.37811199999999</v>
      </c>
      <c r="M342" s="52">
        <v>121.95</v>
      </c>
      <c r="N342" s="52">
        <f>L342+M342</f>
        <v>245.32811199999998</v>
      </c>
      <c r="O342" s="52">
        <f>VLOOKUP($F$344,Tabsub,3)</f>
        <v>125.1</v>
      </c>
      <c r="P342" s="52"/>
      <c r="Q342" s="52"/>
      <c r="R342" s="52"/>
      <c r="S342" s="52"/>
      <c r="T342" s="48">
        <f>F342+G342+H342-N342+O342-P342-Q342-R342-S342</f>
        <v>3091.2718879999998</v>
      </c>
      <c r="U342" s="48">
        <f>T342-G342</f>
        <v>3091.2718879999998</v>
      </c>
    </row>
    <row r="343" spans="1:21" x14ac:dyDescent="0.3">
      <c r="A343" s="22">
        <v>198</v>
      </c>
      <c r="B343" s="14" t="s">
        <v>386</v>
      </c>
      <c r="C343" s="14" t="s">
        <v>400</v>
      </c>
      <c r="D343" s="43">
        <v>15</v>
      </c>
      <c r="E343" s="67">
        <v>263.56</v>
      </c>
      <c r="F343" s="52">
        <f>D343*E343</f>
        <v>3953.4</v>
      </c>
      <c r="G343" s="52"/>
      <c r="H343" s="93"/>
      <c r="I343" s="94"/>
      <c r="J343" s="94"/>
      <c r="K343" s="94"/>
      <c r="L343" s="44">
        <f>(F343-3651.01)*16%</f>
        <v>48.382399999999983</v>
      </c>
      <c r="M343" s="52">
        <v>293.25</v>
      </c>
      <c r="N343" s="44">
        <f>L343+M343</f>
        <v>341.63239999999996</v>
      </c>
      <c r="O343" s="93"/>
      <c r="P343" s="27"/>
      <c r="Q343" s="93"/>
      <c r="R343" s="93"/>
      <c r="S343" s="93"/>
      <c r="T343" s="48">
        <f>F343+G343+H343-N343+O343-P343-Q343-R343-S343</f>
        <v>3611.7676000000001</v>
      </c>
      <c r="U343" s="46">
        <f>T343-G343</f>
        <v>3611.7676000000001</v>
      </c>
    </row>
    <row r="344" spans="1:21" x14ac:dyDescent="0.3">
      <c r="A344" s="22">
        <v>199</v>
      </c>
      <c r="B344" s="125" t="s">
        <v>211</v>
      </c>
      <c r="C344" s="146" t="s">
        <v>106</v>
      </c>
      <c r="D344" s="66">
        <v>15</v>
      </c>
      <c r="E344" s="70">
        <v>214.1</v>
      </c>
      <c r="F344" s="44">
        <f>D344*E344</f>
        <v>3211.5</v>
      </c>
      <c r="G344" s="44"/>
      <c r="H344" s="23"/>
      <c r="I344" s="44" t="e">
        <f>VLOOKUP(#REF!,Tabisr,1)</f>
        <v>#REF!</v>
      </c>
      <c r="J344" s="46" t="e">
        <f>+F344-I344</f>
        <v>#REF!</v>
      </c>
      <c r="K344" s="47" t="e">
        <f>VLOOKUP(#REF!,Tabisr,4)</f>
        <v>#REF!</v>
      </c>
      <c r="L344" s="44">
        <f>(F344-2077.51)*10.88%</f>
        <v>123.37811199999999</v>
      </c>
      <c r="M344" s="52">
        <v>121.95</v>
      </c>
      <c r="N344" s="44">
        <f>L344+M344</f>
        <v>245.32811199999998</v>
      </c>
      <c r="O344" s="44">
        <f>VLOOKUP($F$344,Tabsub,3)</f>
        <v>125.1</v>
      </c>
      <c r="P344" s="44"/>
      <c r="Q344" s="44"/>
      <c r="R344" s="44"/>
      <c r="S344" s="44"/>
      <c r="T344" s="48">
        <f>F344+G344+H344-N344+O344-P344-Q344-R344-S344</f>
        <v>3091.2718879999998</v>
      </c>
      <c r="U344" s="46">
        <f>T344-G344</f>
        <v>3091.2718879999998</v>
      </c>
    </row>
    <row r="345" spans="1:21" x14ac:dyDescent="0.3">
      <c r="A345" s="31"/>
      <c r="B345" s="126"/>
      <c r="C345" s="127"/>
      <c r="D345" s="49"/>
      <c r="E345" s="92"/>
      <c r="F345" s="56">
        <f>+SUM(F340:F344)</f>
        <v>19013.699999999997</v>
      </c>
      <c r="G345" s="56">
        <f>+SUM(G340:G344)</f>
        <v>0</v>
      </c>
      <c r="H345" s="56">
        <f t="shared" ref="H345:U345" si="123">+SUM(H340:H344)</f>
        <v>0</v>
      </c>
      <c r="I345" s="56" t="e">
        <f t="shared" si="123"/>
        <v>#REF!</v>
      </c>
      <c r="J345" s="56" t="e">
        <f t="shared" si="123"/>
        <v>#REF!</v>
      </c>
      <c r="K345" s="56" t="e">
        <f t="shared" si="123"/>
        <v>#REF!</v>
      </c>
      <c r="L345" s="56">
        <f t="shared" si="123"/>
        <v>422.34931199999983</v>
      </c>
      <c r="M345" s="56">
        <f t="shared" si="123"/>
        <v>1218.45</v>
      </c>
      <c r="N345" s="56">
        <f t="shared" si="123"/>
        <v>1640.7993119999996</v>
      </c>
      <c r="O345" s="56">
        <f t="shared" si="123"/>
        <v>250.2</v>
      </c>
      <c r="P345" s="56">
        <f t="shared" si="123"/>
        <v>0</v>
      </c>
      <c r="Q345" s="56">
        <f t="shared" si="123"/>
        <v>0</v>
      </c>
      <c r="R345" s="56">
        <f t="shared" si="123"/>
        <v>0</v>
      </c>
      <c r="S345" s="56">
        <f t="shared" si="123"/>
        <v>0</v>
      </c>
      <c r="T345" s="56">
        <f t="shared" si="123"/>
        <v>17623.100687999999</v>
      </c>
      <c r="U345" s="56">
        <f t="shared" si="123"/>
        <v>17623.100687999999</v>
      </c>
    </row>
    <row r="346" spans="1:21" x14ac:dyDescent="0.3">
      <c r="A346" s="31"/>
      <c r="B346" s="126"/>
      <c r="C346" s="127"/>
      <c r="D346" s="49"/>
      <c r="E346" s="92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1"/>
      <c r="U346" s="51"/>
    </row>
    <row r="347" spans="1:21" ht="18" x14ac:dyDescent="0.3">
      <c r="A347" s="173" t="s">
        <v>267</v>
      </c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</row>
    <row r="348" spans="1:21" ht="35.25" customHeight="1" x14ac:dyDescent="0.3">
      <c r="A348" s="21" t="s">
        <v>69</v>
      </c>
      <c r="B348" s="21" t="s">
        <v>17</v>
      </c>
      <c r="C348" s="21" t="s">
        <v>84</v>
      </c>
      <c r="D348" s="21" t="s">
        <v>27</v>
      </c>
      <c r="E348" s="21" t="s">
        <v>19</v>
      </c>
      <c r="F348" s="21" t="s">
        <v>18</v>
      </c>
      <c r="G348" s="21" t="s">
        <v>66</v>
      </c>
      <c r="H348" s="21" t="s">
        <v>74</v>
      </c>
      <c r="I348" s="37" t="s">
        <v>188</v>
      </c>
      <c r="J348" s="37" t="s">
        <v>189</v>
      </c>
      <c r="K348" s="37" t="s">
        <v>190</v>
      </c>
      <c r="L348" s="37" t="s">
        <v>191</v>
      </c>
      <c r="M348" s="21" t="s">
        <v>192</v>
      </c>
      <c r="N348" s="21" t="s">
        <v>67</v>
      </c>
      <c r="O348" s="21" t="s">
        <v>68</v>
      </c>
      <c r="P348" s="21" t="s">
        <v>20</v>
      </c>
      <c r="Q348" s="21" t="s">
        <v>299</v>
      </c>
      <c r="R348" s="21" t="s">
        <v>72</v>
      </c>
      <c r="S348" s="21" t="s">
        <v>82</v>
      </c>
      <c r="T348" s="21" t="s">
        <v>80</v>
      </c>
      <c r="U348" s="21" t="s">
        <v>81</v>
      </c>
    </row>
    <row r="349" spans="1:21" x14ac:dyDescent="0.3">
      <c r="A349" s="22">
        <v>201</v>
      </c>
      <c r="B349" s="14" t="s">
        <v>162</v>
      </c>
      <c r="C349" s="14" t="s">
        <v>149</v>
      </c>
      <c r="D349" s="145">
        <v>15</v>
      </c>
      <c r="E349" s="67">
        <v>312.26</v>
      </c>
      <c r="F349" s="52">
        <f>D349*E349</f>
        <v>4683.8999999999996</v>
      </c>
      <c r="G349" s="52"/>
      <c r="H349" s="22"/>
      <c r="I349" s="52">
        <f>VLOOKUP($F$350,Tabisr,1)</f>
        <v>3651.01</v>
      </c>
      <c r="J349" s="48">
        <f>+F349-I349</f>
        <v>1032.8899999999994</v>
      </c>
      <c r="K349" s="53">
        <f>VLOOKUP($F$350,Tabisr,4)</f>
        <v>0.16</v>
      </c>
      <c r="L349" s="52">
        <f>(F349-4244.01)*17.92%</f>
        <v>78.828287999999901</v>
      </c>
      <c r="M349" s="52">
        <v>388.05</v>
      </c>
      <c r="N349" s="52">
        <f>L349+M349</f>
        <v>466.87828799999988</v>
      </c>
      <c r="O349" s="52"/>
      <c r="P349" s="52"/>
      <c r="Q349" s="52"/>
      <c r="R349" s="52"/>
      <c r="S349" s="52"/>
      <c r="T349" s="48">
        <f>F349+G349+H349-N349+O349-P349-Q349-R349-S349</f>
        <v>4217.0217119999998</v>
      </c>
      <c r="U349" s="48">
        <f>T349-G349</f>
        <v>4217.0217119999998</v>
      </c>
    </row>
    <row r="350" spans="1:21" x14ac:dyDescent="0.3">
      <c r="A350" s="22">
        <v>200</v>
      </c>
      <c r="B350" s="14" t="s">
        <v>285</v>
      </c>
      <c r="C350" s="14" t="s">
        <v>86</v>
      </c>
      <c r="D350" s="67">
        <v>15</v>
      </c>
      <c r="E350" s="67">
        <v>263.56</v>
      </c>
      <c r="F350" s="52">
        <f>D350*E350</f>
        <v>3953.4</v>
      </c>
      <c r="G350" s="52"/>
      <c r="H350" s="22"/>
      <c r="I350" s="52" t="e">
        <f>VLOOKUP(#REF!,Tabisr,1)</f>
        <v>#REF!</v>
      </c>
      <c r="J350" s="48" t="e">
        <f>+F350-I350</f>
        <v>#REF!</v>
      </c>
      <c r="K350" s="53" t="e">
        <f>VLOOKUP(#REF!,Tabisr,4)</f>
        <v>#REF!</v>
      </c>
      <c r="L350" s="52">
        <f>(F350-2077.51)*10.88%</f>
        <v>204.09683200000001</v>
      </c>
      <c r="M350" s="52">
        <v>121.95</v>
      </c>
      <c r="N350" s="52">
        <v>309.77999999999997</v>
      </c>
      <c r="O350" s="52"/>
      <c r="P350" s="52"/>
      <c r="Q350" s="52"/>
      <c r="R350" s="52"/>
      <c r="S350" s="52"/>
      <c r="T350" s="48">
        <f>F350+G350+H350-N350+O350-P350-Q350-R350-S350</f>
        <v>3643.62</v>
      </c>
      <c r="U350" s="48">
        <f>T350-G350</f>
        <v>3643.62</v>
      </c>
    </row>
    <row r="351" spans="1:21" s="12" customFormat="1" x14ac:dyDescent="0.3">
      <c r="A351" s="22">
        <v>202</v>
      </c>
      <c r="B351" s="14" t="s">
        <v>377</v>
      </c>
      <c r="C351" s="15" t="s">
        <v>86</v>
      </c>
      <c r="D351" s="67">
        <v>15</v>
      </c>
      <c r="E351" s="67">
        <v>263.56</v>
      </c>
      <c r="F351" s="52">
        <f>D351*E351</f>
        <v>3953.4</v>
      </c>
      <c r="G351" s="52"/>
      <c r="H351" s="22"/>
      <c r="I351" s="52" t="e">
        <f>VLOOKUP(#REF!,Tabisr,1)</f>
        <v>#REF!</v>
      </c>
      <c r="J351" s="48" t="e">
        <f>+F351-I351</f>
        <v>#REF!</v>
      </c>
      <c r="K351" s="53" t="e">
        <f>VLOOKUP(#REF!,Tabisr,4)</f>
        <v>#REF!</v>
      </c>
      <c r="L351" s="52">
        <f>(F351-2077.51)*10.88%</f>
        <v>204.09683200000001</v>
      </c>
      <c r="M351" s="52">
        <v>121.95</v>
      </c>
      <c r="N351" s="52">
        <v>309.77999999999997</v>
      </c>
      <c r="O351" s="52"/>
      <c r="P351" s="52"/>
      <c r="Q351" s="52"/>
      <c r="R351" s="52"/>
      <c r="S351" s="52"/>
      <c r="T351" s="48">
        <f>F351+G351+H351-N351+O351-P351-Q351-R351-S351</f>
        <v>3643.62</v>
      </c>
      <c r="U351" s="48">
        <f>T351-G351</f>
        <v>3643.62</v>
      </c>
    </row>
    <row r="352" spans="1:21" s="10" customFormat="1" x14ac:dyDescent="0.3">
      <c r="A352" s="31"/>
      <c r="B352" s="114"/>
      <c r="C352" s="115"/>
      <c r="D352" s="64"/>
      <c r="E352" s="64"/>
      <c r="F352" s="65">
        <f>+SUM(F349:F351)</f>
        <v>12590.699999999999</v>
      </c>
      <c r="G352" s="65">
        <f>+SUM(G349:G351)</f>
        <v>0</v>
      </c>
      <c r="H352" s="65">
        <f t="shared" ref="H352:S352" si="124">+SUM(H350:H351)</f>
        <v>0</v>
      </c>
      <c r="I352" s="65" t="e">
        <f t="shared" si="124"/>
        <v>#REF!</v>
      </c>
      <c r="J352" s="65" t="e">
        <f t="shared" si="124"/>
        <v>#REF!</v>
      </c>
      <c r="K352" s="65" t="e">
        <f t="shared" si="124"/>
        <v>#REF!</v>
      </c>
      <c r="L352" s="65">
        <f t="shared" si="124"/>
        <v>408.19366400000001</v>
      </c>
      <c r="M352" s="65">
        <f t="shared" si="124"/>
        <v>243.9</v>
      </c>
      <c r="N352" s="65">
        <f t="shared" si="124"/>
        <v>619.55999999999995</v>
      </c>
      <c r="O352" s="65">
        <f t="shared" si="124"/>
        <v>0</v>
      </c>
      <c r="P352" s="65">
        <f t="shared" si="124"/>
        <v>0</v>
      </c>
      <c r="Q352" s="65">
        <f t="shared" si="124"/>
        <v>0</v>
      </c>
      <c r="R352" s="65">
        <f t="shared" si="124"/>
        <v>0</v>
      </c>
      <c r="S352" s="65">
        <f t="shared" si="124"/>
        <v>0</v>
      </c>
      <c r="T352" s="65">
        <f>+SUM(T349:T351)</f>
        <v>11504.261712</v>
      </c>
      <c r="U352" s="65">
        <f>+SUM(U349:U351)</f>
        <v>11504.261712</v>
      </c>
    </row>
    <row r="353" spans="1:21" s="10" customFormat="1" x14ac:dyDescent="0.3">
      <c r="A353" s="31"/>
      <c r="B353" s="114"/>
      <c r="C353" s="115"/>
      <c r="D353" s="64"/>
      <c r="E353" s="64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</row>
    <row r="354" spans="1:21" s="10" customFormat="1" ht="18" x14ac:dyDescent="0.3">
      <c r="A354" s="173" t="s">
        <v>268</v>
      </c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</row>
    <row r="355" spans="1:21" s="10" customFormat="1" ht="34.5" customHeight="1" x14ac:dyDescent="0.3">
      <c r="A355" s="21" t="s">
        <v>69</v>
      </c>
      <c r="B355" s="21" t="s">
        <v>17</v>
      </c>
      <c r="C355" s="21" t="s">
        <v>84</v>
      </c>
      <c r="D355" s="21" t="s">
        <v>27</v>
      </c>
      <c r="E355" s="21" t="s">
        <v>19</v>
      </c>
      <c r="F355" s="21" t="s">
        <v>18</v>
      </c>
      <c r="G355" s="21" t="s">
        <v>66</v>
      </c>
      <c r="H355" s="21" t="s">
        <v>74</v>
      </c>
      <c r="I355" s="37" t="s">
        <v>188</v>
      </c>
      <c r="J355" s="37" t="s">
        <v>189</v>
      </c>
      <c r="K355" s="37" t="s">
        <v>190</v>
      </c>
      <c r="L355" s="37" t="s">
        <v>191</v>
      </c>
      <c r="M355" s="21" t="s">
        <v>192</v>
      </c>
      <c r="N355" s="21" t="s">
        <v>67</v>
      </c>
      <c r="O355" s="21" t="s">
        <v>68</v>
      </c>
      <c r="P355" s="21" t="s">
        <v>20</v>
      </c>
      <c r="Q355" s="21" t="s">
        <v>299</v>
      </c>
      <c r="R355" s="21" t="s">
        <v>72</v>
      </c>
      <c r="S355" s="21" t="s">
        <v>82</v>
      </c>
      <c r="T355" s="21" t="s">
        <v>80</v>
      </c>
      <c r="U355" s="21" t="s">
        <v>81</v>
      </c>
    </row>
    <row r="356" spans="1:21" s="10" customFormat="1" x14ac:dyDescent="0.3">
      <c r="A356" s="22">
        <v>203</v>
      </c>
      <c r="B356" s="14" t="s">
        <v>284</v>
      </c>
      <c r="C356" s="14" t="s">
        <v>149</v>
      </c>
      <c r="D356" s="43">
        <v>15</v>
      </c>
      <c r="E356" s="52">
        <v>312.26</v>
      </c>
      <c r="F356" s="52">
        <f t="shared" ref="F356:F361" si="125">D356*E356</f>
        <v>4683.8999999999996</v>
      </c>
      <c r="G356" s="52"/>
      <c r="H356" s="52"/>
      <c r="I356" s="52" t="e">
        <f>VLOOKUP($F$284,Tabisr,1)</f>
        <v>#N/A</v>
      </c>
      <c r="J356" s="48" t="e">
        <f>+F356-I356</f>
        <v>#N/A</v>
      </c>
      <c r="K356" s="53" t="e">
        <f>VLOOKUP($F$284,Tabisr,4)</f>
        <v>#N/A</v>
      </c>
      <c r="L356" s="52">
        <f>(F356-4244.01)*17.92%</f>
        <v>78.828287999999901</v>
      </c>
      <c r="M356" s="52">
        <v>388.05</v>
      </c>
      <c r="N356" s="52">
        <f t="shared" ref="N356:N361" si="126">L356+M356</f>
        <v>466.87828799999988</v>
      </c>
      <c r="O356" s="52">
        <f>VLOOKUP($F$356,Tabsub,3)</f>
        <v>0</v>
      </c>
      <c r="P356" s="52"/>
      <c r="Q356" s="52"/>
      <c r="R356" s="52"/>
      <c r="S356" s="52"/>
      <c r="T356" s="48">
        <f t="shared" ref="T356:T361" si="127">F356+G356+H356-N356+O356-P356-Q356-R356-S356</f>
        <v>4217.0217119999998</v>
      </c>
      <c r="U356" s="48">
        <f t="shared" ref="U356:U361" si="128">T356-G356</f>
        <v>4217.0217119999998</v>
      </c>
    </row>
    <row r="357" spans="1:21" s="10" customFormat="1" x14ac:dyDescent="0.3">
      <c r="A357" s="27">
        <v>204</v>
      </c>
      <c r="B357" s="108" t="s">
        <v>314</v>
      </c>
      <c r="C357" s="109" t="s">
        <v>86</v>
      </c>
      <c r="D357" s="43">
        <v>15</v>
      </c>
      <c r="E357" s="67">
        <v>263.56</v>
      </c>
      <c r="F357" s="52">
        <f t="shared" si="125"/>
        <v>3953.4</v>
      </c>
      <c r="G357" s="52"/>
      <c r="H357" s="93"/>
      <c r="I357" s="94"/>
      <c r="J357" s="94"/>
      <c r="K357" s="94"/>
      <c r="L357" s="44">
        <f>(F357-3651.01)*16%</f>
        <v>48.382399999999983</v>
      </c>
      <c r="M357" s="52">
        <v>293.25</v>
      </c>
      <c r="N357" s="44">
        <f t="shared" si="126"/>
        <v>341.63239999999996</v>
      </c>
      <c r="O357" s="93"/>
      <c r="P357" s="93"/>
      <c r="Q357" s="93"/>
      <c r="R357" s="93"/>
      <c r="S357" s="93"/>
      <c r="T357" s="48">
        <f t="shared" si="127"/>
        <v>3611.7676000000001</v>
      </c>
      <c r="U357" s="46">
        <f t="shared" si="128"/>
        <v>3611.7676000000001</v>
      </c>
    </row>
    <row r="358" spans="1:21" s="10" customFormat="1" x14ac:dyDescent="0.3">
      <c r="A358" s="22">
        <v>205</v>
      </c>
      <c r="B358" s="14" t="s">
        <v>347</v>
      </c>
      <c r="C358" s="15" t="s">
        <v>106</v>
      </c>
      <c r="D358" s="43">
        <v>15</v>
      </c>
      <c r="E358" s="67">
        <v>161.86000000000001</v>
      </c>
      <c r="F358" s="52">
        <f t="shared" si="125"/>
        <v>2427.9</v>
      </c>
      <c r="G358" s="52"/>
      <c r="H358" s="22"/>
      <c r="I358" s="52" t="e">
        <f>VLOOKUP(#REF!,Tabisr,1)</f>
        <v>#REF!</v>
      </c>
      <c r="J358" s="48" t="e">
        <f>+F358-I358</f>
        <v>#REF!</v>
      </c>
      <c r="K358" s="53" t="e">
        <f>VLOOKUP(#REF!,Tabisr,4)</f>
        <v>#REF!</v>
      </c>
      <c r="L358" s="52">
        <f>(F358-2077.51)*10.88%</f>
        <v>38.122431999999989</v>
      </c>
      <c r="M358" s="52">
        <v>121.95</v>
      </c>
      <c r="N358" s="52">
        <f t="shared" si="126"/>
        <v>160.07243199999999</v>
      </c>
      <c r="O358" s="52">
        <f>VLOOKUP($F$344,Tabsub,3)</f>
        <v>125.1</v>
      </c>
      <c r="P358" s="52"/>
      <c r="Q358" s="52"/>
      <c r="R358" s="52"/>
      <c r="S358" s="52"/>
      <c r="T358" s="48">
        <f t="shared" si="127"/>
        <v>2392.9275680000001</v>
      </c>
      <c r="U358" s="48">
        <f t="shared" si="128"/>
        <v>2392.9275680000001</v>
      </c>
    </row>
    <row r="359" spans="1:21" s="10" customFormat="1" x14ac:dyDescent="0.3">
      <c r="A359" s="27">
        <v>206</v>
      </c>
      <c r="B359" s="14" t="s">
        <v>352</v>
      </c>
      <c r="C359" s="122" t="s">
        <v>353</v>
      </c>
      <c r="D359" s="43">
        <v>15</v>
      </c>
      <c r="E359" s="67">
        <v>207.03</v>
      </c>
      <c r="F359" s="52">
        <f t="shared" si="125"/>
        <v>3105.45</v>
      </c>
      <c r="G359" s="52"/>
      <c r="H359" s="22"/>
      <c r="I359" s="52">
        <f>VLOOKUP($F$361,Tabisr,1)</f>
        <v>2077.5100000000002</v>
      </c>
      <c r="J359" s="48">
        <f>+F359-I359</f>
        <v>1027.9399999999996</v>
      </c>
      <c r="K359" s="53">
        <f>VLOOKUP($F$361,Tabisr,4)</f>
        <v>0.10879999999999999</v>
      </c>
      <c r="L359" s="52">
        <f>(F359-2077.51)*10.88%+29.4</f>
        <v>141.23987199999996</v>
      </c>
      <c r="M359" s="52">
        <v>121.95</v>
      </c>
      <c r="N359" s="52">
        <f t="shared" si="126"/>
        <v>263.18987199999998</v>
      </c>
      <c r="O359" s="52">
        <f>VLOOKUP($F$344,Tabsub,3)</f>
        <v>125.1</v>
      </c>
      <c r="P359" s="52"/>
      <c r="Q359" s="52"/>
      <c r="R359" s="52"/>
      <c r="S359" s="52"/>
      <c r="T359" s="48">
        <f t="shared" si="127"/>
        <v>2967.3601279999998</v>
      </c>
      <c r="U359" s="48">
        <f t="shared" si="128"/>
        <v>2967.3601279999998</v>
      </c>
    </row>
    <row r="360" spans="1:21" s="10" customFormat="1" x14ac:dyDescent="0.3">
      <c r="A360" s="27">
        <v>208</v>
      </c>
      <c r="B360" s="14" t="s">
        <v>431</v>
      </c>
      <c r="C360" s="15" t="s">
        <v>231</v>
      </c>
      <c r="D360" s="43">
        <v>15</v>
      </c>
      <c r="E360" s="67">
        <v>207.03</v>
      </c>
      <c r="F360" s="52">
        <f t="shared" si="125"/>
        <v>3105.45</v>
      </c>
      <c r="G360" s="52"/>
      <c r="H360" s="22"/>
      <c r="I360" s="52">
        <f>VLOOKUP($F$361,Tabisr,1)</f>
        <v>2077.5100000000002</v>
      </c>
      <c r="J360" s="48">
        <f>+F360-I360</f>
        <v>1027.9399999999996</v>
      </c>
      <c r="K360" s="53">
        <f>VLOOKUP($F$361,Tabisr,4)</f>
        <v>0.10879999999999999</v>
      </c>
      <c r="L360" s="52">
        <f>(F360-2077.51)*10.88%+29.4</f>
        <v>141.23987199999996</v>
      </c>
      <c r="M360" s="52">
        <v>121.95</v>
      </c>
      <c r="N360" s="52">
        <f t="shared" si="126"/>
        <v>263.18987199999998</v>
      </c>
      <c r="O360" s="52">
        <f>VLOOKUP($F$344,Tabsub,3)</f>
        <v>125.1</v>
      </c>
      <c r="P360" s="52"/>
      <c r="Q360" s="52"/>
      <c r="R360" s="52"/>
      <c r="S360" s="52"/>
      <c r="T360" s="48">
        <f t="shared" si="127"/>
        <v>2967.3601279999998</v>
      </c>
      <c r="U360" s="48">
        <f t="shared" si="128"/>
        <v>2967.3601279999998</v>
      </c>
    </row>
    <row r="361" spans="1:21" s="10" customFormat="1" x14ac:dyDescent="0.3">
      <c r="A361" s="22">
        <v>207</v>
      </c>
      <c r="B361" s="108" t="s">
        <v>71</v>
      </c>
      <c r="C361" s="108" t="s">
        <v>150</v>
      </c>
      <c r="D361" s="43">
        <v>15</v>
      </c>
      <c r="E361" s="70">
        <v>207.03</v>
      </c>
      <c r="F361" s="44">
        <f t="shared" si="125"/>
        <v>3105.45</v>
      </c>
      <c r="G361" s="44"/>
      <c r="H361" s="23"/>
      <c r="I361" s="44">
        <f>VLOOKUP($F$361,Tabisr,1)</f>
        <v>2077.5100000000002</v>
      </c>
      <c r="J361" s="46">
        <f>+F361-I361</f>
        <v>1027.9399999999996</v>
      </c>
      <c r="K361" s="47">
        <f>VLOOKUP($F$361,Tabisr,4)</f>
        <v>0.10879999999999999</v>
      </c>
      <c r="L361" s="44">
        <f>(F361-2077.51)*10.88%+29.4</f>
        <v>141.23987199999996</v>
      </c>
      <c r="M361" s="52">
        <v>121.95</v>
      </c>
      <c r="N361" s="44">
        <f t="shared" si="126"/>
        <v>263.18987199999998</v>
      </c>
      <c r="O361" s="44">
        <f>VLOOKUP($F$344,Tabsub,3)</f>
        <v>125.1</v>
      </c>
      <c r="P361" s="44"/>
      <c r="Q361" s="44"/>
      <c r="R361" s="44"/>
      <c r="S361" s="44"/>
      <c r="T361" s="48">
        <f t="shared" si="127"/>
        <v>2967.3601279999998</v>
      </c>
      <c r="U361" s="46">
        <f t="shared" si="128"/>
        <v>2967.3601279999998</v>
      </c>
    </row>
    <row r="362" spans="1:21" s="10" customFormat="1" x14ac:dyDescent="0.3">
      <c r="A362" s="31"/>
      <c r="B362" s="110"/>
      <c r="C362" s="19"/>
      <c r="D362" s="49"/>
      <c r="E362" s="92"/>
      <c r="F362" s="56">
        <f>+SUM(F356:F361)</f>
        <v>20381.55</v>
      </c>
      <c r="G362" s="56">
        <f>+SUM(G356:G361)</f>
        <v>0</v>
      </c>
      <c r="H362" s="56">
        <f t="shared" ref="H362:U362" si="129">+SUM(H356:H361)</f>
        <v>0</v>
      </c>
      <c r="I362" s="56" t="e">
        <f t="shared" si="129"/>
        <v>#N/A</v>
      </c>
      <c r="J362" s="56" t="e">
        <f t="shared" si="129"/>
        <v>#N/A</v>
      </c>
      <c r="K362" s="56" t="e">
        <f t="shared" si="129"/>
        <v>#N/A</v>
      </c>
      <c r="L362" s="56">
        <f t="shared" si="129"/>
        <v>589.05273599999987</v>
      </c>
      <c r="M362" s="56">
        <f t="shared" si="129"/>
        <v>1169.1000000000001</v>
      </c>
      <c r="N362" s="56">
        <f t="shared" si="129"/>
        <v>1758.1527359999995</v>
      </c>
      <c r="O362" s="56">
        <f t="shared" si="129"/>
        <v>500.4</v>
      </c>
      <c r="P362" s="56">
        <f t="shared" si="129"/>
        <v>0</v>
      </c>
      <c r="Q362" s="56">
        <f t="shared" si="129"/>
        <v>0</v>
      </c>
      <c r="R362" s="56">
        <f t="shared" si="129"/>
        <v>0</v>
      </c>
      <c r="S362" s="56">
        <f t="shared" si="129"/>
        <v>0</v>
      </c>
      <c r="T362" s="56">
        <f t="shared" si="129"/>
        <v>19123.797264000001</v>
      </c>
      <c r="U362" s="56">
        <f t="shared" si="129"/>
        <v>19123.797264000001</v>
      </c>
    </row>
    <row r="363" spans="1:21" s="10" customFormat="1" x14ac:dyDescent="0.3">
      <c r="A363" s="31"/>
      <c r="B363" s="110"/>
      <c r="C363" s="19"/>
      <c r="D363" s="49"/>
      <c r="E363" s="92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</row>
    <row r="364" spans="1:21" s="10" customFormat="1" x14ac:dyDescent="0.3">
      <c r="A364" s="31"/>
      <c r="B364" s="110"/>
      <c r="C364" s="19"/>
      <c r="D364" s="49"/>
      <c r="E364" s="92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</row>
    <row r="365" spans="1:21" s="10" customFormat="1" ht="18" x14ac:dyDescent="0.3">
      <c r="A365" s="173" t="s">
        <v>361</v>
      </c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</row>
    <row r="366" spans="1:21" s="10" customFormat="1" ht="33.75" customHeight="1" x14ac:dyDescent="0.3">
      <c r="A366" s="21" t="s">
        <v>69</v>
      </c>
      <c r="B366" s="21" t="s">
        <v>17</v>
      </c>
      <c r="C366" s="21" t="s">
        <v>84</v>
      </c>
      <c r="D366" s="21" t="s">
        <v>27</v>
      </c>
      <c r="E366" s="21" t="s">
        <v>19</v>
      </c>
      <c r="F366" s="21" t="s">
        <v>18</v>
      </c>
      <c r="G366" s="21" t="s">
        <v>66</v>
      </c>
      <c r="H366" s="21" t="s">
        <v>74</v>
      </c>
      <c r="I366" s="37" t="s">
        <v>188</v>
      </c>
      <c r="J366" s="37" t="s">
        <v>189</v>
      </c>
      <c r="K366" s="37" t="s">
        <v>190</v>
      </c>
      <c r="L366" s="37" t="s">
        <v>191</v>
      </c>
      <c r="M366" s="21" t="s">
        <v>192</v>
      </c>
      <c r="N366" s="21" t="s">
        <v>67</v>
      </c>
      <c r="O366" s="21" t="s">
        <v>68</v>
      </c>
      <c r="P366" s="21" t="s">
        <v>20</v>
      </c>
      <c r="Q366" s="21" t="s">
        <v>299</v>
      </c>
      <c r="R366" s="21" t="s">
        <v>72</v>
      </c>
      <c r="S366" s="21" t="s">
        <v>82</v>
      </c>
      <c r="T366" s="21" t="s">
        <v>80</v>
      </c>
      <c r="U366" s="21" t="s">
        <v>81</v>
      </c>
    </row>
    <row r="367" spans="1:21" s="10" customFormat="1" x14ac:dyDescent="0.3">
      <c r="A367" s="22">
        <v>208</v>
      </c>
      <c r="B367" s="14" t="s">
        <v>28</v>
      </c>
      <c r="C367" s="15" t="s">
        <v>212</v>
      </c>
      <c r="D367" s="43">
        <v>15</v>
      </c>
      <c r="E367" s="52">
        <v>414.83</v>
      </c>
      <c r="F367" s="48">
        <f>D367*E367</f>
        <v>6222.45</v>
      </c>
      <c r="G367" s="40">
        <v>0</v>
      </c>
      <c r="H367" s="40"/>
      <c r="I367" s="52">
        <f>VLOOKUP($F$209,Tabisr,1)</f>
        <v>5081.01</v>
      </c>
      <c r="J367" s="48">
        <f>+F367-I367</f>
        <v>1141.4399999999996</v>
      </c>
      <c r="K367" s="53">
        <f>VLOOKUP($F$209,Tabisr,4)</f>
        <v>0.21360000000000001</v>
      </c>
      <c r="L367" s="44">
        <f>+J367*K367</f>
        <v>243.81158399999993</v>
      </c>
      <c r="M367" s="52">
        <f>VLOOKUP($F$209,Tabisr,3)</f>
        <v>538.20000000000005</v>
      </c>
      <c r="N367" s="40">
        <f>+L367+M367</f>
        <v>782.01158399999997</v>
      </c>
      <c r="O367" s="52">
        <f>VLOOKUP($F$367,Tabsub,3)</f>
        <v>0</v>
      </c>
      <c r="P367" s="40"/>
      <c r="Q367" s="40"/>
      <c r="R367" s="40"/>
      <c r="S367" s="40"/>
      <c r="T367" s="48">
        <f>F367+G367+H367-N367+O367-P367-Q367-R367-S367</f>
        <v>5440.438416</v>
      </c>
      <c r="U367" s="48">
        <f>T367-G367</f>
        <v>5440.438416</v>
      </c>
    </row>
    <row r="368" spans="1:21" s="10" customFormat="1" x14ac:dyDescent="0.3">
      <c r="A368" s="23">
        <v>209</v>
      </c>
      <c r="B368" s="14" t="s">
        <v>271</v>
      </c>
      <c r="C368" s="109" t="s">
        <v>212</v>
      </c>
      <c r="D368" s="66">
        <v>15</v>
      </c>
      <c r="E368" s="44">
        <v>414.83</v>
      </c>
      <c r="F368" s="44">
        <f>D368*E368</f>
        <v>6222.45</v>
      </c>
      <c r="G368" s="84">
        <v>0</v>
      </c>
      <c r="H368" s="84"/>
      <c r="I368" s="44">
        <f>VLOOKUP($F$209,Tabisr,1)</f>
        <v>5081.01</v>
      </c>
      <c r="J368" s="46">
        <f>+F368-I368</f>
        <v>1141.4399999999996</v>
      </c>
      <c r="K368" s="47">
        <f>VLOOKUP($F$209,Tabisr,4)</f>
        <v>0.21360000000000001</v>
      </c>
      <c r="L368" s="44">
        <f>+J368*K368</f>
        <v>243.81158399999993</v>
      </c>
      <c r="M368" s="52">
        <f>VLOOKUP($F$209,Tabisr,3)</f>
        <v>538.20000000000005</v>
      </c>
      <c r="N368" s="40">
        <f>+L368+M368</f>
        <v>782.01158399999997</v>
      </c>
      <c r="O368" s="44">
        <f>VLOOKUP($F$367,Tabsub,3)</f>
        <v>0</v>
      </c>
      <c r="P368" s="84"/>
      <c r="Q368" s="84"/>
      <c r="R368" s="84"/>
      <c r="S368" s="84"/>
      <c r="T368" s="48">
        <f>F368+G368+H368-N368+O368-P368-Q368-R368-S368</f>
        <v>5440.438416</v>
      </c>
      <c r="U368" s="46">
        <f>T368-G368</f>
        <v>5440.438416</v>
      </c>
    </row>
    <row r="369" spans="1:21" s="10" customFormat="1" x14ac:dyDescent="0.3">
      <c r="A369" s="31"/>
      <c r="B369" s="110"/>
      <c r="C369" s="19"/>
      <c r="D369" s="49"/>
      <c r="E369" s="92"/>
      <c r="F369" s="56">
        <f>SUM(F367:F368)</f>
        <v>12444.9</v>
      </c>
      <c r="G369" s="56">
        <f>SUM(G367:G368)</f>
        <v>0</v>
      </c>
      <c r="H369" s="56">
        <f t="shared" ref="H369:U369" si="130">SUM(H367:H368)</f>
        <v>0</v>
      </c>
      <c r="I369" s="56">
        <f t="shared" si="130"/>
        <v>10162.02</v>
      </c>
      <c r="J369" s="56">
        <f t="shared" si="130"/>
        <v>2282.8799999999992</v>
      </c>
      <c r="K369" s="56">
        <f t="shared" si="130"/>
        <v>0.42720000000000002</v>
      </c>
      <c r="L369" s="56">
        <f t="shared" si="130"/>
        <v>487.62316799999985</v>
      </c>
      <c r="M369" s="56">
        <f t="shared" si="130"/>
        <v>1076.4000000000001</v>
      </c>
      <c r="N369" s="56">
        <f t="shared" si="130"/>
        <v>1564.0231679999999</v>
      </c>
      <c r="O369" s="56">
        <f t="shared" si="130"/>
        <v>0</v>
      </c>
      <c r="P369" s="56">
        <f t="shared" si="130"/>
        <v>0</v>
      </c>
      <c r="Q369" s="56">
        <f t="shared" si="130"/>
        <v>0</v>
      </c>
      <c r="R369" s="56">
        <f t="shared" si="130"/>
        <v>0</v>
      </c>
      <c r="S369" s="56">
        <f t="shared" si="130"/>
        <v>0</v>
      </c>
      <c r="T369" s="56">
        <f t="shared" si="130"/>
        <v>10880.876832</v>
      </c>
      <c r="U369" s="56">
        <f t="shared" si="130"/>
        <v>10880.876832</v>
      </c>
    </row>
    <row r="370" spans="1:21" s="10" customFormat="1" x14ac:dyDescent="0.3">
      <c r="A370" s="31"/>
      <c r="B370" s="110"/>
      <c r="C370" s="19"/>
      <c r="D370" s="49"/>
      <c r="E370" s="92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</row>
    <row r="371" spans="1:21" s="10" customFormat="1" x14ac:dyDescent="0.3">
      <c r="A371" s="31"/>
      <c r="B371" s="110"/>
      <c r="C371" s="19"/>
      <c r="D371" s="49"/>
      <c r="E371" s="92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</row>
    <row r="372" spans="1:21" s="10" customFormat="1" ht="18" x14ac:dyDescent="0.3">
      <c r="A372" s="181" t="s">
        <v>375</v>
      </c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</row>
    <row r="373" spans="1:21" s="10" customFormat="1" ht="35.25" customHeight="1" x14ac:dyDescent="0.3">
      <c r="A373" s="21" t="s">
        <v>69</v>
      </c>
      <c r="B373" s="21" t="s">
        <v>17</v>
      </c>
      <c r="C373" s="21" t="s">
        <v>84</v>
      </c>
      <c r="D373" s="21" t="s">
        <v>27</v>
      </c>
      <c r="E373" s="21" t="s">
        <v>19</v>
      </c>
      <c r="F373" s="21" t="s">
        <v>18</v>
      </c>
      <c r="G373" s="21" t="s">
        <v>66</v>
      </c>
      <c r="H373" s="21" t="s">
        <v>74</v>
      </c>
      <c r="I373" s="37" t="s">
        <v>188</v>
      </c>
      <c r="J373" s="37" t="s">
        <v>189</v>
      </c>
      <c r="K373" s="37" t="s">
        <v>190</v>
      </c>
      <c r="L373" s="37" t="s">
        <v>191</v>
      </c>
      <c r="M373" s="21" t="s">
        <v>192</v>
      </c>
      <c r="N373" s="21" t="s">
        <v>67</v>
      </c>
      <c r="O373" s="21" t="s">
        <v>68</v>
      </c>
      <c r="P373" s="21" t="s">
        <v>20</v>
      </c>
      <c r="Q373" s="21" t="s">
        <v>299</v>
      </c>
      <c r="R373" s="21" t="s">
        <v>72</v>
      </c>
      <c r="S373" s="21" t="s">
        <v>82</v>
      </c>
      <c r="T373" s="21" t="s">
        <v>80</v>
      </c>
      <c r="U373" s="21" t="s">
        <v>81</v>
      </c>
    </row>
    <row r="374" spans="1:21" s="10" customFormat="1" ht="19.2" x14ac:dyDescent="0.3">
      <c r="A374" s="29">
        <v>210</v>
      </c>
      <c r="B374" s="14" t="s">
        <v>64</v>
      </c>
      <c r="C374" s="143" t="s">
        <v>289</v>
      </c>
      <c r="D374" s="29">
        <v>15</v>
      </c>
      <c r="E374" s="80">
        <v>661.33</v>
      </c>
      <c r="F374" s="81">
        <f>D374*E374</f>
        <v>9919.9500000000007</v>
      </c>
      <c r="G374" s="81"/>
      <c r="H374" s="81"/>
      <c r="I374" s="81">
        <v>1571.8</v>
      </c>
      <c r="J374" s="81"/>
      <c r="K374" s="81"/>
      <c r="L374" s="81"/>
      <c r="M374" s="81"/>
      <c r="N374" s="81">
        <v>1571.8</v>
      </c>
      <c r="O374" s="81"/>
      <c r="P374" s="81"/>
      <c r="Q374" s="44"/>
      <c r="R374" s="44"/>
      <c r="S374" s="44"/>
      <c r="T374" s="44">
        <f t="shared" ref="T374:T399" si="131">F374+G374+H374-N374+O374-P374-Q374-R374-S374</f>
        <v>8348.1500000000015</v>
      </c>
      <c r="U374" s="44">
        <f t="shared" ref="U374:U399" si="132">T374-G374</f>
        <v>8348.1500000000015</v>
      </c>
    </row>
    <row r="375" spans="1:21" s="10" customFormat="1" x14ac:dyDescent="0.3">
      <c r="A375" s="29">
        <v>214</v>
      </c>
      <c r="B375" s="14" t="s">
        <v>209</v>
      </c>
      <c r="C375" s="14" t="s">
        <v>292</v>
      </c>
      <c r="D375" s="29">
        <v>15</v>
      </c>
      <c r="E375" s="75">
        <v>401.66</v>
      </c>
      <c r="F375" s="76">
        <f t="shared" ref="F375" si="133">D375*E375</f>
        <v>6024.9000000000005</v>
      </c>
      <c r="G375" s="76"/>
      <c r="H375" s="76"/>
      <c r="I375" s="76">
        <v>673.07</v>
      </c>
      <c r="J375" s="76"/>
      <c r="K375" s="76"/>
      <c r="L375" s="76"/>
      <c r="M375" s="76"/>
      <c r="N375" s="76">
        <v>673.07</v>
      </c>
      <c r="O375" s="81"/>
      <c r="P375" s="81"/>
      <c r="Q375" s="44"/>
      <c r="R375" s="44"/>
      <c r="S375" s="44"/>
      <c r="T375" s="44">
        <f t="shared" si="131"/>
        <v>5351.8300000000008</v>
      </c>
      <c r="U375" s="44">
        <f t="shared" si="132"/>
        <v>5351.8300000000008</v>
      </c>
    </row>
    <row r="376" spans="1:21" s="10" customFormat="1" x14ac:dyDescent="0.3">
      <c r="A376" s="29">
        <v>215</v>
      </c>
      <c r="B376" s="14" t="s">
        <v>143</v>
      </c>
      <c r="C376" s="14" t="s">
        <v>159</v>
      </c>
      <c r="D376" s="29">
        <v>15</v>
      </c>
      <c r="E376" s="75">
        <v>401.66</v>
      </c>
      <c r="F376" s="76">
        <f t="shared" ref="F376:F399" si="134">D376*E376</f>
        <v>6024.9000000000005</v>
      </c>
      <c r="G376" s="76"/>
      <c r="H376" s="76"/>
      <c r="I376" s="76">
        <v>673.07</v>
      </c>
      <c r="J376" s="76"/>
      <c r="K376" s="76"/>
      <c r="L376" s="76"/>
      <c r="M376" s="76"/>
      <c r="N376" s="76">
        <v>673.07</v>
      </c>
      <c r="O376" s="81"/>
      <c r="P376" s="81"/>
      <c r="Q376" s="44"/>
      <c r="R376" s="44"/>
      <c r="S376" s="44"/>
      <c r="T376" s="44">
        <f t="shared" ref="T376" si="135">F376+G376+H376-N376+O376-P376-Q376-R376-S376</f>
        <v>5351.8300000000008</v>
      </c>
      <c r="U376" s="44">
        <f t="shared" ref="U376" si="136">T376-G376</f>
        <v>5351.8300000000008</v>
      </c>
    </row>
    <row r="377" spans="1:21" s="10" customFormat="1" x14ac:dyDescent="0.3">
      <c r="A377" s="29">
        <v>217</v>
      </c>
      <c r="B377" s="14" t="s">
        <v>339</v>
      </c>
      <c r="C377" s="14" t="s">
        <v>114</v>
      </c>
      <c r="D377" s="29">
        <v>15</v>
      </c>
      <c r="E377" s="75">
        <v>317.87</v>
      </c>
      <c r="F377" s="76">
        <f>D377*E377</f>
        <v>4768.05</v>
      </c>
      <c r="G377" s="76"/>
      <c r="H377" s="76"/>
      <c r="I377" s="76">
        <v>488.66</v>
      </c>
      <c r="J377" s="76"/>
      <c r="K377" s="76"/>
      <c r="L377" s="76"/>
      <c r="M377" s="76"/>
      <c r="N377" s="76">
        <v>488.66</v>
      </c>
      <c r="O377" s="81"/>
      <c r="P377" s="81"/>
      <c r="Q377" s="44"/>
      <c r="R377" s="44"/>
      <c r="S377" s="44"/>
      <c r="T377" s="44">
        <f t="shared" si="131"/>
        <v>4279.3900000000003</v>
      </c>
      <c r="U377" s="44">
        <f t="shared" si="132"/>
        <v>4279.3900000000003</v>
      </c>
    </row>
    <row r="378" spans="1:21" s="10" customFormat="1" x14ac:dyDescent="0.3">
      <c r="A378" s="26">
        <v>220</v>
      </c>
      <c r="B378" s="111" t="s">
        <v>303</v>
      </c>
      <c r="C378" s="111" t="s">
        <v>92</v>
      </c>
      <c r="D378" s="26"/>
      <c r="E378" s="169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59"/>
      <c r="R378" s="59"/>
      <c r="S378" s="59"/>
      <c r="T378" s="59"/>
      <c r="U378" s="59"/>
    </row>
    <row r="379" spans="1:21" s="10" customFormat="1" x14ac:dyDescent="0.3">
      <c r="A379" s="29">
        <v>240</v>
      </c>
      <c r="B379" s="14" t="s">
        <v>394</v>
      </c>
      <c r="C379" s="14" t="s">
        <v>92</v>
      </c>
      <c r="D379" s="29">
        <v>15</v>
      </c>
      <c r="E379" s="75">
        <v>317.87</v>
      </c>
      <c r="F379" s="76">
        <f>D379*E379</f>
        <v>4768.05</v>
      </c>
      <c r="G379" s="76"/>
      <c r="H379" s="76"/>
      <c r="I379" s="76">
        <v>488.66</v>
      </c>
      <c r="J379" s="76"/>
      <c r="K379" s="76">
        <v>870</v>
      </c>
      <c r="L379" s="76"/>
      <c r="M379" s="76"/>
      <c r="N379" s="76">
        <v>488.66</v>
      </c>
      <c r="O379" s="76"/>
      <c r="P379" s="76"/>
      <c r="Q379" s="52"/>
      <c r="R379" s="52"/>
      <c r="S379" s="52"/>
      <c r="T379" s="52">
        <f t="shared" si="131"/>
        <v>4279.3900000000003</v>
      </c>
      <c r="U379" s="52">
        <f t="shared" si="132"/>
        <v>4279.3900000000003</v>
      </c>
    </row>
    <row r="380" spans="1:21" s="10" customFormat="1" x14ac:dyDescent="0.3">
      <c r="A380" s="29">
        <v>222</v>
      </c>
      <c r="B380" s="14" t="s">
        <v>60</v>
      </c>
      <c r="C380" s="108" t="s">
        <v>92</v>
      </c>
      <c r="D380" s="29">
        <v>15</v>
      </c>
      <c r="E380" s="80">
        <v>251.21</v>
      </c>
      <c r="F380" s="81">
        <f t="shared" si="134"/>
        <v>3768.15</v>
      </c>
      <c r="G380" s="81"/>
      <c r="H380" s="81"/>
      <c r="I380" s="81">
        <v>311.99</v>
      </c>
      <c r="J380" s="81"/>
      <c r="K380" s="81"/>
      <c r="L380" s="81"/>
      <c r="M380" s="81"/>
      <c r="N380" s="81">
        <v>311.99</v>
      </c>
      <c r="O380" s="81"/>
      <c r="P380" s="81"/>
      <c r="Q380" s="44"/>
      <c r="R380" s="44"/>
      <c r="S380" s="44"/>
      <c r="T380" s="44">
        <f t="shared" si="131"/>
        <v>3456.16</v>
      </c>
      <c r="U380" s="44">
        <f t="shared" si="132"/>
        <v>3456.16</v>
      </c>
    </row>
    <row r="381" spans="1:21" s="10" customFormat="1" x14ac:dyDescent="0.3">
      <c r="A381" s="27">
        <v>223</v>
      </c>
      <c r="B381" s="14" t="s">
        <v>326</v>
      </c>
      <c r="C381" s="14" t="s">
        <v>92</v>
      </c>
      <c r="D381" s="27">
        <v>15</v>
      </c>
      <c r="E381" s="75">
        <v>317.87</v>
      </c>
      <c r="F381" s="76">
        <f t="shared" si="134"/>
        <v>4768.05</v>
      </c>
      <c r="G381" s="76"/>
      <c r="H381" s="76"/>
      <c r="I381" s="76">
        <v>488.66</v>
      </c>
      <c r="J381" s="76"/>
      <c r="K381" s="76"/>
      <c r="L381" s="76"/>
      <c r="M381" s="76"/>
      <c r="N381" s="76">
        <v>488.66</v>
      </c>
      <c r="O381" s="76"/>
      <c r="P381" s="76"/>
      <c r="Q381" s="52"/>
      <c r="R381" s="52"/>
      <c r="S381" s="52"/>
      <c r="T381" s="52">
        <f t="shared" si="131"/>
        <v>4279.3900000000003</v>
      </c>
      <c r="U381" s="52">
        <f t="shared" si="132"/>
        <v>4279.3900000000003</v>
      </c>
    </row>
    <row r="382" spans="1:21" s="10" customFormat="1" x14ac:dyDescent="0.3">
      <c r="A382" s="27">
        <v>235</v>
      </c>
      <c r="B382" s="14" t="s">
        <v>360</v>
      </c>
      <c r="C382" s="14" t="s">
        <v>114</v>
      </c>
      <c r="D382" s="27">
        <v>15</v>
      </c>
      <c r="E382" s="75">
        <v>317.87</v>
      </c>
      <c r="F382" s="76">
        <f>D382*E382</f>
        <v>4768.05</v>
      </c>
      <c r="G382" s="76"/>
      <c r="H382" s="76"/>
      <c r="I382" s="76">
        <v>488.66</v>
      </c>
      <c r="J382" s="76"/>
      <c r="K382" s="76"/>
      <c r="L382" s="76"/>
      <c r="M382" s="76"/>
      <c r="N382" s="76">
        <v>488.66</v>
      </c>
      <c r="O382" s="76"/>
      <c r="P382" s="76"/>
      <c r="Q382" s="52"/>
      <c r="R382" s="52"/>
      <c r="S382" s="52"/>
      <c r="T382" s="52">
        <f t="shared" si="131"/>
        <v>4279.3900000000003</v>
      </c>
      <c r="U382" s="52">
        <f t="shared" si="132"/>
        <v>4279.3900000000003</v>
      </c>
    </row>
    <row r="383" spans="1:21" s="10" customFormat="1" x14ac:dyDescent="0.3">
      <c r="A383" s="27">
        <v>231</v>
      </c>
      <c r="B383" s="14" t="s">
        <v>215</v>
      </c>
      <c r="C383" s="14" t="s">
        <v>114</v>
      </c>
      <c r="D383" s="27">
        <v>15</v>
      </c>
      <c r="E383" s="75">
        <v>317.87</v>
      </c>
      <c r="F383" s="76">
        <f>D383*E383</f>
        <v>4768.05</v>
      </c>
      <c r="G383" s="76"/>
      <c r="H383" s="76"/>
      <c r="I383" s="76">
        <v>488.66</v>
      </c>
      <c r="J383" s="76"/>
      <c r="K383" s="76"/>
      <c r="L383" s="76">
        <v>887</v>
      </c>
      <c r="M383" s="76"/>
      <c r="N383" s="76">
        <v>488.66</v>
      </c>
      <c r="O383" s="76"/>
      <c r="P383" s="76"/>
      <c r="Q383" s="52"/>
      <c r="R383" s="52"/>
      <c r="S383" s="52"/>
      <c r="T383" s="52">
        <f t="shared" si="131"/>
        <v>4279.3900000000003</v>
      </c>
      <c r="U383" s="52">
        <f t="shared" si="132"/>
        <v>4279.3900000000003</v>
      </c>
    </row>
    <row r="384" spans="1:21" s="10" customFormat="1" x14ac:dyDescent="0.3">
      <c r="A384" s="27">
        <v>229</v>
      </c>
      <c r="B384" s="14" t="s">
        <v>425</v>
      </c>
      <c r="C384" s="14" t="s">
        <v>114</v>
      </c>
      <c r="D384" s="27">
        <v>15</v>
      </c>
      <c r="E384" s="75">
        <v>317.87</v>
      </c>
      <c r="F384" s="76">
        <f>D384*E384</f>
        <v>4768.05</v>
      </c>
      <c r="G384" s="76"/>
      <c r="H384" s="76"/>
      <c r="I384" s="76">
        <v>488.66</v>
      </c>
      <c r="J384" s="76"/>
      <c r="K384" s="76"/>
      <c r="L384" s="76">
        <v>887</v>
      </c>
      <c r="M384" s="76"/>
      <c r="N384" s="76">
        <v>488.66</v>
      </c>
      <c r="O384" s="76"/>
      <c r="P384" s="76"/>
      <c r="Q384" s="52"/>
      <c r="R384" s="52"/>
      <c r="S384" s="52"/>
      <c r="T384" s="52">
        <f t="shared" ref="T384" si="137">F384+G384+H384-N384+O384-P384-Q384-R384-S384</f>
        <v>4279.3900000000003</v>
      </c>
      <c r="U384" s="52">
        <f t="shared" ref="U384" si="138">T384-G384</f>
        <v>4279.3900000000003</v>
      </c>
    </row>
    <row r="385" spans="1:21" s="10" customFormat="1" x14ac:dyDescent="0.3">
      <c r="A385" s="29">
        <v>216</v>
      </c>
      <c r="B385" s="14" t="s">
        <v>333</v>
      </c>
      <c r="C385" s="14" t="s">
        <v>114</v>
      </c>
      <c r="D385" s="29">
        <v>15</v>
      </c>
      <c r="E385" s="75">
        <v>317.87</v>
      </c>
      <c r="F385" s="76">
        <f>D385*E385</f>
        <v>4768.05</v>
      </c>
      <c r="G385" s="76"/>
      <c r="H385" s="76"/>
      <c r="I385" s="76">
        <v>488.66</v>
      </c>
      <c r="J385" s="76"/>
      <c r="K385" s="76">
        <v>870</v>
      </c>
      <c r="L385" s="76"/>
      <c r="M385" s="76"/>
      <c r="N385" s="76">
        <v>488.66</v>
      </c>
      <c r="O385" s="81"/>
      <c r="P385" s="81"/>
      <c r="Q385" s="44"/>
      <c r="R385" s="44"/>
      <c r="S385" s="44"/>
      <c r="T385" s="44">
        <f>F385+G385+H385-N385+O385-P385-Q385-R385-S385</f>
        <v>4279.3900000000003</v>
      </c>
      <c r="U385" s="44">
        <f>T385-G385</f>
        <v>4279.3900000000003</v>
      </c>
    </row>
    <row r="386" spans="1:21" s="10" customFormat="1" x14ac:dyDescent="0.3">
      <c r="A386" s="29">
        <v>221</v>
      </c>
      <c r="B386" s="14" t="s">
        <v>321</v>
      </c>
      <c r="C386" s="14" t="s">
        <v>114</v>
      </c>
      <c r="D386" s="29">
        <v>15</v>
      </c>
      <c r="E386" s="75">
        <v>317.87</v>
      </c>
      <c r="F386" s="76">
        <f>D386*E386</f>
        <v>4768.05</v>
      </c>
      <c r="G386" s="76"/>
      <c r="H386" s="76"/>
      <c r="I386" s="76">
        <v>488.66</v>
      </c>
      <c r="J386" s="76"/>
      <c r="K386" s="76"/>
      <c r="L386" s="76"/>
      <c r="M386" s="76"/>
      <c r="N386" s="76">
        <v>488.66</v>
      </c>
      <c r="O386" s="81"/>
      <c r="P386" s="81"/>
      <c r="Q386" s="44"/>
      <c r="R386" s="44"/>
      <c r="S386" s="44"/>
      <c r="T386" s="44">
        <f>F386+G386+H386-N386+O386-P386-Q386-R386-S386</f>
        <v>4279.3900000000003</v>
      </c>
      <c r="U386" s="44">
        <f>T386-G386</f>
        <v>4279.3900000000003</v>
      </c>
    </row>
    <row r="387" spans="1:21" s="10" customFormat="1" x14ac:dyDescent="0.3">
      <c r="A387" s="29">
        <v>224</v>
      </c>
      <c r="B387" s="14" t="s">
        <v>144</v>
      </c>
      <c r="C387" s="108" t="s">
        <v>114</v>
      </c>
      <c r="D387" s="29">
        <v>15</v>
      </c>
      <c r="E387" s="80">
        <v>317.87</v>
      </c>
      <c r="F387" s="81">
        <f t="shared" si="134"/>
        <v>4768.05</v>
      </c>
      <c r="G387" s="81"/>
      <c r="H387" s="81"/>
      <c r="I387" s="81">
        <v>488.66</v>
      </c>
      <c r="J387" s="81"/>
      <c r="K387" s="81"/>
      <c r="L387" s="81"/>
      <c r="M387" s="81"/>
      <c r="N387" s="81">
        <v>488.66</v>
      </c>
      <c r="O387" s="81"/>
      <c r="P387" s="81"/>
      <c r="Q387" s="44"/>
      <c r="R387" s="44"/>
      <c r="S387" s="44"/>
      <c r="T387" s="44">
        <f t="shared" si="131"/>
        <v>4279.3900000000003</v>
      </c>
      <c r="U387" s="44">
        <f t="shared" si="132"/>
        <v>4279.3900000000003</v>
      </c>
    </row>
    <row r="388" spans="1:21" s="12" customFormat="1" x14ac:dyDescent="0.3">
      <c r="A388" s="29">
        <v>225</v>
      </c>
      <c r="B388" s="14" t="s">
        <v>332</v>
      </c>
      <c r="C388" s="14" t="s">
        <v>114</v>
      </c>
      <c r="D388" s="29">
        <v>15</v>
      </c>
      <c r="E388" s="75">
        <v>317.87</v>
      </c>
      <c r="F388" s="76">
        <f t="shared" si="134"/>
        <v>4768.05</v>
      </c>
      <c r="G388" s="76"/>
      <c r="H388" s="76"/>
      <c r="I388" s="76">
        <v>488.66</v>
      </c>
      <c r="J388" s="76"/>
      <c r="K388" s="76"/>
      <c r="L388" s="76"/>
      <c r="M388" s="76"/>
      <c r="N388" s="76">
        <v>488.66</v>
      </c>
      <c r="O388" s="76"/>
      <c r="P388" s="76"/>
      <c r="Q388" s="52"/>
      <c r="R388" s="52"/>
      <c r="S388" s="52"/>
      <c r="T388" s="52">
        <f t="shared" si="131"/>
        <v>4279.3900000000003</v>
      </c>
      <c r="U388" s="52">
        <f t="shared" si="132"/>
        <v>4279.3900000000003</v>
      </c>
    </row>
    <row r="389" spans="1:21" s="10" customFormat="1" x14ac:dyDescent="0.3">
      <c r="A389" s="29">
        <v>226</v>
      </c>
      <c r="B389" s="14" t="s">
        <v>83</v>
      </c>
      <c r="C389" s="108" t="s">
        <v>114</v>
      </c>
      <c r="D389" s="29">
        <v>15</v>
      </c>
      <c r="E389" s="80">
        <v>317.87</v>
      </c>
      <c r="F389" s="81">
        <f t="shared" si="134"/>
        <v>4768.05</v>
      </c>
      <c r="G389" s="81"/>
      <c r="H389" s="81"/>
      <c r="I389" s="81">
        <v>488.66</v>
      </c>
      <c r="J389" s="81"/>
      <c r="K389" s="81">
        <v>710</v>
      </c>
      <c r="L389" s="81"/>
      <c r="M389" s="81"/>
      <c r="N389" s="81">
        <v>488.66</v>
      </c>
      <c r="O389" s="81"/>
      <c r="P389" s="81"/>
      <c r="Q389" s="44"/>
      <c r="R389" s="44"/>
      <c r="S389" s="44"/>
      <c r="T389" s="44">
        <f t="shared" si="131"/>
        <v>4279.3900000000003</v>
      </c>
      <c r="U389" s="44">
        <f t="shared" si="132"/>
        <v>4279.3900000000003</v>
      </c>
    </row>
    <row r="390" spans="1:21" s="10" customFormat="1" x14ac:dyDescent="0.3">
      <c r="A390" s="29">
        <v>227</v>
      </c>
      <c r="B390" s="14" t="s">
        <v>61</v>
      </c>
      <c r="C390" s="108" t="s">
        <v>114</v>
      </c>
      <c r="D390" s="29">
        <v>15</v>
      </c>
      <c r="E390" s="80">
        <v>317.87</v>
      </c>
      <c r="F390" s="81">
        <f t="shared" si="134"/>
        <v>4768.05</v>
      </c>
      <c r="G390" s="81"/>
      <c r="H390" s="81"/>
      <c r="I390" s="81">
        <v>488.66</v>
      </c>
      <c r="J390" s="81"/>
      <c r="K390" s="81">
        <v>870</v>
      </c>
      <c r="L390" s="81"/>
      <c r="M390" s="81"/>
      <c r="N390" s="81">
        <v>488.66</v>
      </c>
      <c r="O390" s="81"/>
      <c r="P390" s="81"/>
      <c r="Q390" s="44"/>
      <c r="R390" s="44"/>
      <c r="S390" s="44"/>
      <c r="T390" s="44">
        <f t="shared" si="131"/>
        <v>4279.3900000000003</v>
      </c>
      <c r="U390" s="44">
        <f t="shared" si="132"/>
        <v>4279.3900000000003</v>
      </c>
    </row>
    <row r="391" spans="1:21" s="10" customFormat="1" x14ac:dyDescent="0.3">
      <c r="A391" s="29">
        <v>228</v>
      </c>
      <c r="B391" s="14" t="s">
        <v>62</v>
      </c>
      <c r="C391" s="108" t="s">
        <v>114</v>
      </c>
      <c r="D391" s="29">
        <v>15</v>
      </c>
      <c r="E391" s="80">
        <v>317.87</v>
      </c>
      <c r="F391" s="81">
        <f t="shared" si="134"/>
        <v>4768.05</v>
      </c>
      <c r="G391" s="81"/>
      <c r="H391" s="81"/>
      <c r="I391" s="81">
        <v>488.66</v>
      </c>
      <c r="J391" s="81"/>
      <c r="K391" s="81">
        <v>610</v>
      </c>
      <c r="L391" s="81"/>
      <c r="M391" s="81"/>
      <c r="N391" s="81">
        <v>488.66</v>
      </c>
      <c r="O391" s="81"/>
      <c r="P391" s="81"/>
      <c r="Q391" s="44"/>
      <c r="R391" s="44"/>
      <c r="S391" s="44"/>
      <c r="T391" s="44">
        <f t="shared" si="131"/>
        <v>4279.3900000000003</v>
      </c>
      <c r="U391" s="44">
        <f t="shared" si="132"/>
        <v>4279.3900000000003</v>
      </c>
    </row>
    <row r="392" spans="1:21" x14ac:dyDescent="0.3">
      <c r="A392" s="22">
        <v>241</v>
      </c>
      <c r="B392" s="14" t="s">
        <v>408</v>
      </c>
      <c r="C392" s="15" t="s">
        <v>407</v>
      </c>
      <c r="D392" s="29">
        <v>15</v>
      </c>
      <c r="E392" s="80">
        <v>317.87</v>
      </c>
      <c r="F392" s="81">
        <f t="shared" ref="F392" si="139">D392*E392</f>
        <v>4768.05</v>
      </c>
      <c r="G392" s="81"/>
      <c r="H392" s="81"/>
      <c r="I392" s="81">
        <v>488.66</v>
      </c>
      <c r="J392" s="81"/>
      <c r="K392" s="81">
        <v>610</v>
      </c>
      <c r="L392" s="81"/>
      <c r="M392" s="81"/>
      <c r="N392" s="81">
        <v>488.66</v>
      </c>
      <c r="O392" s="81"/>
      <c r="P392" s="81"/>
      <c r="Q392" s="44"/>
      <c r="R392" s="44"/>
      <c r="S392" s="44"/>
      <c r="T392" s="44">
        <f t="shared" si="131"/>
        <v>4279.3900000000003</v>
      </c>
      <c r="U392" s="44">
        <f t="shared" si="132"/>
        <v>4279.3900000000003</v>
      </c>
    </row>
    <row r="393" spans="1:21" s="10" customFormat="1" x14ac:dyDescent="0.3">
      <c r="A393" s="29">
        <v>230</v>
      </c>
      <c r="B393" s="14" t="s">
        <v>65</v>
      </c>
      <c r="C393" s="108" t="s">
        <v>114</v>
      </c>
      <c r="D393" s="29">
        <v>15</v>
      </c>
      <c r="E393" s="80">
        <v>317.87</v>
      </c>
      <c r="F393" s="81">
        <f t="shared" si="134"/>
        <v>4768.05</v>
      </c>
      <c r="G393" s="81"/>
      <c r="H393" s="81"/>
      <c r="I393" s="81">
        <v>488.66</v>
      </c>
      <c r="J393" s="81"/>
      <c r="K393" s="81">
        <v>870</v>
      </c>
      <c r="L393" s="81"/>
      <c r="M393" s="81"/>
      <c r="N393" s="81">
        <v>488.66</v>
      </c>
      <c r="O393" s="81"/>
      <c r="P393" s="81"/>
      <c r="Q393" s="44"/>
      <c r="R393" s="44"/>
      <c r="S393" s="44"/>
      <c r="T393" s="44">
        <f t="shared" si="131"/>
        <v>4279.3900000000003</v>
      </c>
      <c r="U393" s="44">
        <f t="shared" si="132"/>
        <v>4279.3900000000003</v>
      </c>
    </row>
    <row r="394" spans="1:21" s="10" customFormat="1" x14ac:dyDescent="0.3">
      <c r="A394" s="29">
        <v>232</v>
      </c>
      <c r="B394" s="14" t="s">
        <v>148</v>
      </c>
      <c r="C394" s="108" t="s">
        <v>114</v>
      </c>
      <c r="D394" s="29">
        <v>15</v>
      </c>
      <c r="E394" s="80">
        <v>317.87</v>
      </c>
      <c r="F394" s="81">
        <f t="shared" si="134"/>
        <v>4768.05</v>
      </c>
      <c r="G394" s="81"/>
      <c r="H394" s="81"/>
      <c r="I394" s="81">
        <v>488.66</v>
      </c>
      <c r="J394" s="81"/>
      <c r="K394" s="81"/>
      <c r="L394" s="81"/>
      <c r="M394" s="81"/>
      <c r="N394" s="81">
        <v>488.66</v>
      </c>
      <c r="O394" s="81"/>
      <c r="P394" s="81"/>
      <c r="Q394" s="44"/>
      <c r="R394" s="44"/>
      <c r="S394" s="44"/>
      <c r="T394" s="44">
        <f t="shared" si="131"/>
        <v>4279.3900000000003</v>
      </c>
      <c r="U394" s="44">
        <f t="shared" si="132"/>
        <v>4279.3900000000003</v>
      </c>
    </row>
    <row r="395" spans="1:21" s="10" customFormat="1" x14ac:dyDescent="0.3">
      <c r="A395" s="29">
        <v>234</v>
      </c>
      <c r="B395" s="14" t="s">
        <v>161</v>
      </c>
      <c r="C395" s="108" t="s">
        <v>114</v>
      </c>
      <c r="D395" s="29">
        <v>15</v>
      </c>
      <c r="E395" s="80">
        <v>317.87</v>
      </c>
      <c r="F395" s="81">
        <f t="shared" si="134"/>
        <v>4768.05</v>
      </c>
      <c r="G395" s="81"/>
      <c r="H395" s="81"/>
      <c r="I395" s="81">
        <v>488.66</v>
      </c>
      <c r="J395" s="81"/>
      <c r="K395" s="81">
        <v>870</v>
      </c>
      <c r="L395" s="81"/>
      <c r="M395" s="81"/>
      <c r="N395" s="81">
        <v>488.66</v>
      </c>
      <c r="O395" s="81"/>
      <c r="P395" s="81"/>
      <c r="Q395" s="44"/>
      <c r="R395" s="44"/>
      <c r="S395" s="44"/>
      <c r="T395" s="44">
        <f t="shared" si="131"/>
        <v>4279.3900000000003</v>
      </c>
      <c r="U395" s="44">
        <f t="shared" si="132"/>
        <v>4279.3900000000003</v>
      </c>
    </row>
    <row r="396" spans="1:21" s="10" customFormat="1" ht="28.8" x14ac:dyDescent="0.3">
      <c r="A396" s="29">
        <v>236</v>
      </c>
      <c r="B396" s="14" t="s">
        <v>59</v>
      </c>
      <c r="C396" s="143" t="s">
        <v>113</v>
      </c>
      <c r="D396" s="29">
        <v>15</v>
      </c>
      <c r="E396" s="80">
        <v>401.66</v>
      </c>
      <c r="F396" s="81">
        <f t="shared" si="134"/>
        <v>6024.9000000000005</v>
      </c>
      <c r="G396" s="81"/>
      <c r="H396" s="81"/>
      <c r="I396" s="81">
        <v>587.66</v>
      </c>
      <c r="J396" s="81"/>
      <c r="K396" s="81">
        <v>870</v>
      </c>
      <c r="L396" s="81"/>
      <c r="M396" s="81">
        <v>1793.71</v>
      </c>
      <c r="N396" s="81">
        <v>587.66</v>
      </c>
      <c r="O396" s="81"/>
      <c r="P396" s="81"/>
      <c r="Q396" s="44"/>
      <c r="R396" s="44"/>
      <c r="S396" s="44"/>
      <c r="T396" s="44">
        <f t="shared" si="131"/>
        <v>5437.2400000000007</v>
      </c>
      <c r="U396" s="44">
        <f t="shared" si="132"/>
        <v>5437.2400000000007</v>
      </c>
    </row>
    <row r="397" spans="1:21" s="10" customFormat="1" ht="19.2" x14ac:dyDescent="0.3">
      <c r="A397" s="29">
        <v>237</v>
      </c>
      <c r="B397" s="14" t="s">
        <v>348</v>
      </c>
      <c r="C397" s="113" t="s">
        <v>196</v>
      </c>
      <c r="D397" s="29">
        <v>15</v>
      </c>
      <c r="E397" s="75">
        <v>317.87</v>
      </c>
      <c r="F397" s="76">
        <f t="shared" si="134"/>
        <v>4768.05</v>
      </c>
      <c r="G397" s="76"/>
      <c r="H397" s="76"/>
      <c r="I397" s="76">
        <v>311.99</v>
      </c>
      <c r="J397" s="76"/>
      <c r="K397" s="76"/>
      <c r="L397" s="76"/>
      <c r="M397" s="76"/>
      <c r="N397" s="76">
        <v>311.99</v>
      </c>
      <c r="O397" s="76"/>
      <c r="P397" s="76"/>
      <c r="Q397" s="44"/>
      <c r="R397" s="44"/>
      <c r="S397" s="44"/>
      <c r="T397" s="44">
        <f t="shared" si="131"/>
        <v>4456.0600000000004</v>
      </c>
      <c r="U397" s="44">
        <f t="shared" si="132"/>
        <v>4456.0600000000004</v>
      </c>
    </row>
    <row r="398" spans="1:21" s="10" customFormat="1" ht="19.2" x14ac:dyDescent="0.3">
      <c r="A398" s="29">
        <v>238</v>
      </c>
      <c r="B398" s="14" t="s">
        <v>210</v>
      </c>
      <c r="C398" s="143" t="s">
        <v>196</v>
      </c>
      <c r="D398" s="29">
        <v>15</v>
      </c>
      <c r="E398" s="80">
        <v>317.87</v>
      </c>
      <c r="F398" s="81">
        <f t="shared" si="134"/>
        <v>4768.05</v>
      </c>
      <c r="G398" s="81"/>
      <c r="H398" s="81"/>
      <c r="I398" s="81">
        <v>488.66</v>
      </c>
      <c r="J398" s="81"/>
      <c r="K398" s="81">
        <v>1000</v>
      </c>
      <c r="L398" s="81"/>
      <c r="M398" s="81"/>
      <c r="N398" s="81">
        <v>488.66</v>
      </c>
      <c r="O398" s="81"/>
      <c r="P398" s="81"/>
      <c r="Q398" s="44"/>
      <c r="R398" s="44"/>
      <c r="S398" s="44"/>
      <c r="T398" s="44">
        <f t="shared" si="131"/>
        <v>4279.3900000000003</v>
      </c>
      <c r="U398" s="44">
        <f t="shared" si="132"/>
        <v>4279.3900000000003</v>
      </c>
    </row>
    <row r="399" spans="1:21" s="10" customFormat="1" ht="19.2" x14ac:dyDescent="0.3">
      <c r="A399" s="29">
        <v>239</v>
      </c>
      <c r="B399" s="14" t="s">
        <v>310</v>
      </c>
      <c r="C399" s="143" t="s">
        <v>196</v>
      </c>
      <c r="D399" s="29">
        <v>15</v>
      </c>
      <c r="E399" s="80">
        <v>317.87</v>
      </c>
      <c r="F399" s="81">
        <f t="shared" si="134"/>
        <v>4768.05</v>
      </c>
      <c r="G399" s="81"/>
      <c r="H399" s="81"/>
      <c r="I399" s="81">
        <v>488.66</v>
      </c>
      <c r="J399" s="81"/>
      <c r="K399" s="81"/>
      <c r="L399" s="81"/>
      <c r="M399" s="81"/>
      <c r="N399" s="81">
        <v>488.66</v>
      </c>
      <c r="O399" s="81"/>
      <c r="P399" s="81"/>
      <c r="Q399" s="44"/>
      <c r="R399" s="44"/>
      <c r="S399" s="44"/>
      <c r="T399" s="44">
        <f t="shared" si="131"/>
        <v>4279.3900000000003</v>
      </c>
      <c r="U399" s="44">
        <f t="shared" si="132"/>
        <v>4279.3900000000003</v>
      </c>
    </row>
    <row r="400" spans="1:21" s="10" customFormat="1" x14ac:dyDescent="0.25">
      <c r="A400" s="33"/>
      <c r="B400" s="129"/>
      <c r="C400" s="129"/>
      <c r="D400" s="174"/>
      <c r="E400" s="174"/>
      <c r="F400" s="95">
        <f t="shared" ref="F400:U400" si="140">SUM(F374:F399)</f>
        <v>127123.80000000005</v>
      </c>
      <c r="G400" s="95">
        <f t="shared" si="140"/>
        <v>0</v>
      </c>
      <c r="H400" s="95">
        <f t="shared" si="140"/>
        <v>0</v>
      </c>
      <c r="I400" s="95">
        <f t="shared" si="140"/>
        <v>13414.119999999997</v>
      </c>
      <c r="J400" s="95">
        <f t="shared" si="140"/>
        <v>0</v>
      </c>
      <c r="K400" s="95">
        <f t="shared" si="140"/>
        <v>8150</v>
      </c>
      <c r="L400" s="95">
        <f t="shared" si="140"/>
        <v>1774</v>
      </c>
      <c r="M400" s="95">
        <f t="shared" si="140"/>
        <v>1793.71</v>
      </c>
      <c r="N400" s="95">
        <f t="shared" si="140"/>
        <v>13414.119999999997</v>
      </c>
      <c r="O400" s="95">
        <f t="shared" si="140"/>
        <v>0</v>
      </c>
      <c r="P400" s="95">
        <f t="shared" si="140"/>
        <v>0</v>
      </c>
      <c r="Q400" s="56">
        <f t="shared" si="140"/>
        <v>0</v>
      </c>
      <c r="R400" s="56">
        <f t="shared" si="140"/>
        <v>0</v>
      </c>
      <c r="S400" s="56">
        <f t="shared" si="140"/>
        <v>0</v>
      </c>
      <c r="T400" s="56">
        <f t="shared" si="140"/>
        <v>113709.68000000001</v>
      </c>
      <c r="U400" s="56">
        <f t="shared" si="140"/>
        <v>113709.68000000001</v>
      </c>
    </row>
    <row r="401" spans="1:21" s="10" customFormat="1" x14ac:dyDescent="0.3">
      <c r="A401" s="31"/>
      <c r="B401" s="110"/>
      <c r="C401" s="19"/>
      <c r="D401" s="49"/>
      <c r="E401" s="92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</row>
    <row r="402" spans="1:21" s="10" customFormat="1" ht="15" thickBot="1" x14ac:dyDescent="0.35">
      <c r="A402" s="31"/>
      <c r="B402" s="114"/>
      <c r="C402" s="115"/>
      <c r="D402" s="64"/>
      <c r="E402" s="64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</row>
    <row r="403" spans="1:21" ht="15" thickBot="1" x14ac:dyDescent="0.35">
      <c r="A403" s="34"/>
      <c r="C403" s="156"/>
      <c r="D403" s="96"/>
      <c r="E403" s="96"/>
      <c r="F403" s="97">
        <f t="shared" ref="F403:U403" si="141">F400+F369+F362+F352+F345+F336+F329+F318+F295+F286+F279+F274+F236+F228+F222+F210+F189+F176+F163+F156+F149+F132+F119+F109+F102+F92+F86+F81+F73+F57+F50+F41+F30+F19</f>
        <v>1220895.7200000002</v>
      </c>
      <c r="G403" s="97">
        <f t="shared" si="141"/>
        <v>0</v>
      </c>
      <c r="H403" s="97">
        <f t="shared" si="141"/>
        <v>0</v>
      </c>
      <c r="I403" s="97" t="e">
        <f t="shared" si="141"/>
        <v>#N/A</v>
      </c>
      <c r="J403" s="97" t="e">
        <f t="shared" si="141"/>
        <v>#N/A</v>
      </c>
      <c r="K403" s="97" t="e">
        <f t="shared" si="141"/>
        <v>#N/A</v>
      </c>
      <c r="L403" s="97">
        <f t="shared" si="141"/>
        <v>45751.331089599997</v>
      </c>
      <c r="M403" s="97">
        <f t="shared" si="141"/>
        <v>86157.86</v>
      </c>
      <c r="N403" s="97">
        <f t="shared" si="141"/>
        <v>145191.00324160003</v>
      </c>
      <c r="O403" s="97">
        <f t="shared" si="141"/>
        <v>1876.4999999999998</v>
      </c>
      <c r="P403" s="97">
        <f t="shared" si="141"/>
        <v>0</v>
      </c>
      <c r="Q403" s="97">
        <f t="shared" si="141"/>
        <v>0</v>
      </c>
      <c r="R403" s="97">
        <f t="shared" si="141"/>
        <v>0</v>
      </c>
      <c r="S403" s="97">
        <f t="shared" si="141"/>
        <v>0</v>
      </c>
      <c r="T403" s="97">
        <f t="shared" si="141"/>
        <v>1077114.3384704001</v>
      </c>
      <c r="U403" s="168">
        <f t="shared" si="141"/>
        <v>1077114.3384704001</v>
      </c>
    </row>
    <row r="404" spans="1:21" x14ac:dyDescent="0.3">
      <c r="A404" s="34"/>
      <c r="D404" s="98"/>
      <c r="E404" s="98"/>
      <c r="F404" s="98"/>
      <c r="G404" s="99"/>
      <c r="H404" s="98"/>
      <c r="I404" s="98"/>
      <c r="J404" s="98"/>
      <c r="K404" s="98"/>
      <c r="L404" s="98"/>
      <c r="M404" s="98"/>
      <c r="N404" s="98"/>
      <c r="O404" s="98"/>
      <c r="P404" s="99"/>
      <c r="Q404" s="98"/>
      <c r="R404" s="98"/>
      <c r="S404" s="98"/>
      <c r="T404" s="99"/>
      <c r="U404" s="98"/>
    </row>
    <row r="405" spans="1:21" x14ac:dyDescent="0.3">
      <c r="A405" s="34"/>
      <c r="F405" s="101"/>
      <c r="G405" s="102"/>
      <c r="N405" s="100"/>
    </row>
    <row r="406" spans="1:21" x14ac:dyDescent="0.3">
      <c r="A406" s="34"/>
      <c r="H406" s="100"/>
      <c r="I406" s="100"/>
      <c r="J406" s="100"/>
      <c r="K406" s="100"/>
      <c r="L406" s="100"/>
      <c r="M406" s="100"/>
      <c r="O406" s="100"/>
      <c r="P406" s="100"/>
      <c r="Q406" s="100"/>
    </row>
    <row r="407" spans="1:21" x14ac:dyDescent="0.3">
      <c r="A407" s="34"/>
      <c r="H407" s="100"/>
      <c r="I407" s="100"/>
      <c r="J407" s="100"/>
      <c r="K407" s="100"/>
      <c r="L407" s="100"/>
      <c r="M407" s="100"/>
    </row>
    <row r="409" spans="1:21" x14ac:dyDescent="0.3">
      <c r="R409" s="100"/>
    </row>
  </sheetData>
  <mergeCells count="39">
    <mergeCell ref="A372:U372"/>
    <mergeCell ref="A321:U321"/>
    <mergeCell ref="A331:U331"/>
    <mergeCell ref="A338:U338"/>
    <mergeCell ref="A347:U347"/>
    <mergeCell ref="A354:U354"/>
    <mergeCell ref="A365:U365"/>
    <mergeCell ref="A2:U2"/>
    <mergeCell ref="A3:U3"/>
    <mergeCell ref="A4:U4"/>
    <mergeCell ref="A22:U22"/>
    <mergeCell ref="A6:U6"/>
    <mergeCell ref="A33:U33"/>
    <mergeCell ref="A44:U44"/>
    <mergeCell ref="A52:U52"/>
    <mergeCell ref="A59:U59"/>
    <mergeCell ref="A75:U75"/>
    <mergeCell ref="A1:U1"/>
    <mergeCell ref="A178:U178"/>
    <mergeCell ref="A192:U192"/>
    <mergeCell ref="A213:U213"/>
    <mergeCell ref="A225:U225"/>
    <mergeCell ref="A230:U230"/>
    <mergeCell ref="A83:U83"/>
    <mergeCell ref="A88:U88"/>
    <mergeCell ref="A97:U97"/>
    <mergeCell ref="A104:U104"/>
    <mergeCell ref="A111:U111"/>
    <mergeCell ref="D400:E400"/>
    <mergeCell ref="A238:U238"/>
    <mergeCell ref="A276:U276"/>
    <mergeCell ref="A282:U282"/>
    <mergeCell ref="A287:U287"/>
    <mergeCell ref="A298:U298"/>
    <mergeCell ref="A123:U123"/>
    <mergeCell ref="A136:U136"/>
    <mergeCell ref="A151:U151"/>
    <mergeCell ref="A158:U158"/>
    <mergeCell ref="A165:U165"/>
  </mergeCells>
  <pageMargins left="0.23622047244094491" right="0" top="0.43307086614173229" bottom="0.55118110236220474" header="0.51181102362204722" footer="0.43307086614173229"/>
  <pageSetup paperSize="5" scale="65" orientation="landscape" r:id="rId1"/>
  <ignoredErrors>
    <ignoredError sqref="N26 L28 L70 N70 L169 L30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E20" sqref="E20"/>
    </sheetView>
  </sheetViews>
  <sheetFormatPr baseColWidth="10" defaultColWidth="11.44140625" defaultRowHeight="14.4" x14ac:dyDescent="0.3"/>
  <cols>
    <col min="1" max="16384" width="11.44140625" style="2"/>
  </cols>
  <sheetData>
    <row r="2" spans="1:13" x14ac:dyDescent="0.3">
      <c r="A2" s="1" t="s">
        <v>165</v>
      </c>
      <c r="B2" s="1"/>
      <c r="C2" s="1"/>
      <c r="D2" s="1"/>
      <c r="E2" s="1"/>
      <c r="F2" s="1"/>
      <c r="H2" s="1" t="s">
        <v>166</v>
      </c>
      <c r="I2" s="1"/>
      <c r="J2" s="1"/>
      <c r="K2" s="1"/>
      <c r="L2" s="1"/>
      <c r="M2" s="1"/>
    </row>
    <row r="3" spans="1:13" x14ac:dyDescent="0.3">
      <c r="A3" s="1" t="s">
        <v>167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3">
      <c r="A4" s="4" t="s">
        <v>168</v>
      </c>
      <c r="B4" s="4"/>
      <c r="C4" s="4"/>
      <c r="D4" s="4"/>
      <c r="E4" s="4"/>
      <c r="F4" s="4"/>
      <c r="H4" s="1" t="s">
        <v>169</v>
      </c>
      <c r="I4" s="1"/>
      <c r="J4" s="1"/>
      <c r="K4" s="1"/>
      <c r="L4" s="1"/>
      <c r="M4" s="3"/>
    </row>
    <row r="5" spans="1:13" x14ac:dyDescent="0.3">
      <c r="A5" s="1" t="s">
        <v>170</v>
      </c>
      <c r="B5" s="1"/>
      <c r="C5" s="1"/>
      <c r="D5" s="1"/>
      <c r="E5" s="1"/>
      <c r="F5" s="1"/>
      <c r="H5" s="1" t="s">
        <v>171</v>
      </c>
      <c r="I5" s="1"/>
      <c r="J5" s="1"/>
      <c r="K5" s="1"/>
      <c r="L5" s="1"/>
      <c r="M5" s="3"/>
    </row>
    <row r="6" spans="1:13" x14ac:dyDescent="0.3">
      <c r="H6" s="3"/>
      <c r="I6" s="3"/>
      <c r="J6" s="3"/>
      <c r="K6" s="3"/>
      <c r="L6" s="3"/>
      <c r="M6" s="3"/>
    </row>
    <row r="7" spans="1:13" x14ac:dyDescent="0.3">
      <c r="H7" s="3"/>
      <c r="I7" s="3"/>
      <c r="J7" s="3"/>
      <c r="K7" s="3"/>
      <c r="L7" s="3"/>
      <c r="M7" s="3"/>
    </row>
    <row r="8" spans="1:13" x14ac:dyDescent="0.3">
      <c r="B8" s="5" t="s">
        <v>172</v>
      </c>
      <c r="C8" s="5" t="s">
        <v>173</v>
      </c>
      <c r="D8" s="5" t="s">
        <v>174</v>
      </c>
      <c r="E8" s="5" t="s">
        <v>175</v>
      </c>
      <c r="H8" s="3"/>
      <c r="I8" s="5" t="s">
        <v>176</v>
      </c>
      <c r="J8" s="5" t="s">
        <v>177</v>
      </c>
      <c r="K8" s="5" t="s">
        <v>178</v>
      </c>
      <c r="L8" s="3"/>
      <c r="M8" s="3"/>
    </row>
    <row r="9" spans="1:13" x14ac:dyDescent="0.3">
      <c r="B9" s="5" t="s">
        <v>179</v>
      </c>
      <c r="C9" s="5" t="s">
        <v>180</v>
      </c>
      <c r="D9" s="5" t="s">
        <v>181</v>
      </c>
      <c r="E9" s="5" t="s">
        <v>182</v>
      </c>
      <c r="H9" s="3"/>
      <c r="I9" s="5" t="s">
        <v>183</v>
      </c>
      <c r="J9" s="5" t="s">
        <v>183</v>
      </c>
      <c r="K9" s="5" t="s">
        <v>184</v>
      </c>
      <c r="L9" s="3"/>
      <c r="M9" s="3"/>
    </row>
    <row r="10" spans="1:13" x14ac:dyDescent="0.3">
      <c r="B10" s="6" t="s">
        <v>185</v>
      </c>
      <c r="C10" s="6" t="s">
        <v>185</v>
      </c>
      <c r="D10" s="6" t="s">
        <v>185</v>
      </c>
      <c r="E10" s="6" t="s">
        <v>186</v>
      </c>
    </row>
    <row r="11" spans="1:13" x14ac:dyDescent="0.3">
      <c r="B11" s="7">
        <v>0.01</v>
      </c>
      <c r="C11" s="7">
        <v>244.8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3">
      <c r="B12" s="7">
        <v>244.81</v>
      </c>
      <c r="C12" s="7">
        <v>2077.5</v>
      </c>
      <c r="D12" s="7">
        <v>4.6500000000000004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3">
      <c r="B13" s="7">
        <v>2077.5100000000002</v>
      </c>
      <c r="C13" s="7">
        <v>3651</v>
      </c>
      <c r="D13" s="7">
        <v>121.95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3">
      <c r="B14" s="7">
        <v>3651.01</v>
      </c>
      <c r="C14" s="7">
        <v>4244</v>
      </c>
      <c r="D14" s="7">
        <v>293.25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3">
      <c r="B15" s="7">
        <v>4244.01</v>
      </c>
      <c r="C15" s="7">
        <v>5081</v>
      </c>
      <c r="D15" s="7">
        <v>388.05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3">
      <c r="B16" s="7">
        <v>5081.01</v>
      </c>
      <c r="C16" s="7">
        <v>10248</v>
      </c>
      <c r="D16" s="7">
        <v>538.20000000000005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3">
      <c r="B17" s="7">
        <v>10248.01</v>
      </c>
      <c r="C17" s="7">
        <v>16153</v>
      </c>
      <c r="D17" s="7">
        <v>1641.75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3">
      <c r="B18" s="7">
        <v>16153.01</v>
      </c>
      <c r="C18" s="7">
        <v>30838</v>
      </c>
      <c r="D18" s="7">
        <v>3030.6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3">
      <c r="B19" s="7">
        <v>30838.01</v>
      </c>
      <c r="C19" s="7">
        <v>41118</v>
      </c>
      <c r="D19" s="7">
        <v>7436.25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3">
      <c r="B20" s="7">
        <v>41118.01</v>
      </c>
      <c r="C20" s="7">
        <v>123355</v>
      </c>
      <c r="D20" s="7">
        <v>10725.75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3">
      <c r="B21" s="7">
        <v>123355.01</v>
      </c>
      <c r="C21" s="7" t="s">
        <v>187</v>
      </c>
      <c r="D21" s="7">
        <v>38686.35</v>
      </c>
      <c r="E21" s="8">
        <v>0.35</v>
      </c>
      <c r="F21" s="9"/>
      <c r="I21" s="7">
        <v>3642.61</v>
      </c>
      <c r="J21" s="3" t="s">
        <v>187</v>
      </c>
      <c r="K21" s="7">
        <v>0</v>
      </c>
      <c r="L21" s="3"/>
    </row>
    <row r="22" spans="2:12" x14ac:dyDescent="0.3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2020-09-25T19:45:33Z</cp:lastPrinted>
  <dcterms:created xsi:type="dcterms:W3CDTF">2012-09-01T00:58:13Z</dcterms:created>
  <dcterms:modified xsi:type="dcterms:W3CDTF">2021-04-07T16:25:18Z</dcterms:modified>
</cp:coreProperties>
</file>